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70"/>
  </bookViews>
  <sheets>
    <sheet name="Sheet1" sheetId="1" r:id="rId1"/>
  </sheets>
  <definedNames>
    <definedName name="_xlnm._FilterDatabase" localSheetId="0" hidden="1">Sheet1!$A$3:$W$81</definedName>
    <definedName name="_xlnm.Print_Area" localSheetId="0">Sheet1!$A$1:$S$81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<sst xmlns="http://schemas.openxmlformats.org/spreadsheetml/2006/main" count="562" uniqueCount="210">
  <si>
    <t>附件2：                                  邓州市2020年带贫企业带动贫困户台账（44家）</t>
  </si>
  <si>
    <t>日期：2020年12月31日   单位：户，万元、元</t>
  </si>
  <si>
    <t>序号</t>
  </si>
  <si>
    <t>管控情况</t>
  </si>
  <si>
    <t>企业</t>
  </si>
  <si>
    <t>合作银行</t>
  </si>
  <si>
    <t>市担保公司担保</t>
  </si>
  <si>
    <t>借款日期</t>
  </si>
  <si>
    <t>还款日期</t>
  </si>
  <si>
    <t>带动户数</t>
  </si>
  <si>
    <t>解除户数</t>
  </si>
  <si>
    <t>贷款余额</t>
  </si>
  <si>
    <t>到期还款额</t>
  </si>
  <si>
    <t>在带动乡镇（带动户数以最近一次发放为主）</t>
  </si>
  <si>
    <t>预期年收益</t>
  </si>
  <si>
    <t>17年发放带贫款</t>
  </si>
  <si>
    <t>18年发放带贫款</t>
  </si>
  <si>
    <t>19年发放带贫款</t>
  </si>
  <si>
    <t>2020年发放带贫款</t>
  </si>
  <si>
    <t>累计发放带贫款</t>
  </si>
  <si>
    <t>备注</t>
  </si>
  <si>
    <t>2021年1月到期</t>
  </si>
  <si>
    <t>邓州市习乡林果种植专业合作社</t>
  </si>
  <si>
    <t>河南邓州农村商业银行股份有限公司</t>
  </si>
  <si>
    <t>担保</t>
  </si>
  <si>
    <t>十林192户</t>
  </si>
  <si>
    <t>每年2400元</t>
  </si>
  <si>
    <t>18年5月，132户每户7100元，66户每户3600元，增收至20年12月底,发放完毕。</t>
  </si>
  <si>
    <t>2021年7月到期</t>
  </si>
  <si>
    <t>邓州市牧原养殖有限公司</t>
  </si>
  <si>
    <t>未担保</t>
  </si>
  <si>
    <t>九龙336户，陶营63户</t>
  </si>
  <si>
    <t>19年9月，九龙336户每户5200元，增收至20年12月底；陶营63户每户3200元，增收至20年12月底，发放完毕。</t>
  </si>
  <si>
    <t>已经到期解除</t>
  </si>
  <si>
    <t>邓州市恒泰棉花购销有限公司</t>
  </si>
  <si>
    <t>汲滩198户</t>
  </si>
  <si>
    <t>17年12月，132户每户8150元，66户每户3400元，增收至20年11月底，发放完毕</t>
  </si>
  <si>
    <t>邓州市润泽园林绿化有限公司</t>
  </si>
  <si>
    <t>邓州市张村张南面粉厂</t>
  </si>
  <si>
    <t>南阳村镇银行股份有限公司邓州支行</t>
  </si>
  <si>
    <t>夏集40户</t>
  </si>
  <si>
    <t>19年12月，增收12个月，每户2400元，增收到11月底，发放完毕。</t>
  </si>
  <si>
    <t>邓州市建达建设管理有限公司</t>
  </si>
  <si>
    <t>1.五保户：彭桥46户，裴营26户，腰店243户，赵集205户，龙堰211户，罗庄295户，刘集240户，十林254户，张村292户，九龙24户，孟楼5户。         
2.一般或低保户：夏集100户，构林200户、龙堰100户、罗庄100户、刘集97户。</t>
  </si>
  <si>
    <t>每年2400元/每年480元</t>
  </si>
  <si>
    <t>19年1月，五保户每户880元，400户一般每户4900元，200户一般每户3200元，增收至20年11月底，发放完毕</t>
  </si>
  <si>
    <t>邓州市国控光伏发电汲滩有限公司</t>
  </si>
  <si>
    <t>裴营40户、汲滩20户</t>
  </si>
  <si>
    <t>19年1月，40户每户5100元，20户每户3600元，增收至20年12月底，发放完毕。</t>
  </si>
  <si>
    <t>邓州市国控光伏发电桑庄有限公司</t>
  </si>
  <si>
    <t>裴营39户、桑庄20户</t>
  </si>
  <si>
    <t>19年1月，39户每户5100元，20户每户3600元，增收至20年12月底，发放完毕。</t>
  </si>
  <si>
    <t>邓州市国控光伏发电夏集有限公司</t>
  </si>
  <si>
    <t>裴营40户、夏集20户</t>
  </si>
  <si>
    <t>邓州市国控光伏发电张楼有限公司</t>
  </si>
  <si>
    <t>裴营40户、张楼20户</t>
  </si>
  <si>
    <t>邓州市国控光伏发电赵集有限公司</t>
  </si>
  <si>
    <t>裴营40户、赵集19户</t>
  </si>
  <si>
    <t>19年1月，40户每户5100元，19户每户3600元，增收至20年12月底，发放完毕。</t>
  </si>
  <si>
    <t>邓州市国控光伏发电罗庄有限公司</t>
  </si>
  <si>
    <t>裴营38户、罗庄20户</t>
  </si>
  <si>
    <t>19年1月，38户每户5100元，20户每户3600元，增收至20年12月底，发放完毕。</t>
  </si>
  <si>
    <t>邓州市国控光伏发电穰东有限公司</t>
  </si>
  <si>
    <t>裴营37户、穰东20户</t>
  </si>
  <si>
    <t>19年1月,37户每户5100元，20户每户3600元，增收至20年12月底，发放完毕。</t>
  </si>
  <si>
    <t>邓州市国控光伏发电腰店有限公司</t>
  </si>
  <si>
    <t>裴营39户、腰店19户</t>
  </si>
  <si>
    <t>19年1月，39户每户5100元，19户每户3600元，增收至20年12月底，发放完毕。</t>
  </si>
  <si>
    <t>邓州市国控光伏发电文渠有限公司</t>
  </si>
  <si>
    <t>裴营33户、文渠26户</t>
  </si>
  <si>
    <t>邓州市国控光伏发电龙堰有限公司</t>
  </si>
  <si>
    <t>裴营39户、龙堰20户</t>
  </si>
  <si>
    <t>邓州市国控光伏发电白牛有限公司</t>
  </si>
  <si>
    <t>裴营38户、张楼20户</t>
  </si>
  <si>
    <t>邓州市国控光伏发电张村有限公司</t>
  </si>
  <si>
    <t>裴营38户、张村20户</t>
  </si>
  <si>
    <t>2020年9月到期解除</t>
  </si>
  <si>
    <t>邓州市恒祥丰肥业有限公司</t>
  </si>
  <si>
    <t>龙堰100户</t>
  </si>
  <si>
    <t>17年10月，67户每户8400元，33户每户2400元，增收至20年9月底，发放完毕。</t>
  </si>
  <si>
    <t>邓州市新荣冠酒业有限公司</t>
  </si>
  <si>
    <t>罗庄60户</t>
  </si>
  <si>
    <t>17年11月，40户每户8050元，20户2800元，增收至20年9月底，发放完毕。</t>
  </si>
  <si>
    <t>邓州市一联食品有限公司</t>
  </si>
  <si>
    <t>龙堰60户</t>
  </si>
  <si>
    <t>17年10月，40户每户8250元，20户每户3000元，增收至20年9月底，发放完毕。</t>
  </si>
  <si>
    <t>邓州市冰洁面粉有限责任公司</t>
  </si>
  <si>
    <t>构林60户</t>
  </si>
  <si>
    <t>2020年10月到期解除</t>
  </si>
  <si>
    <t>邓州交通发展投资有限公司</t>
  </si>
  <si>
    <t>穰东550户、腰店332户、彭桥17户、构林100户</t>
  </si>
  <si>
    <t>17年11月，667户每户8250元，333户每户3000元，增收至20年10月底,发放完毕.</t>
  </si>
  <si>
    <t>邓州市水利建设发展有限公司</t>
  </si>
  <si>
    <t>湍河46户、构林150户，林扒262户、高集521户</t>
  </si>
  <si>
    <t>17年11月，666户每户8250元，1户6500元，333户每户3000元，增收至20年10月底,发放完毕.</t>
  </si>
  <si>
    <t>邓州市城乡建设开发有限公司</t>
  </si>
  <si>
    <t>赵集488户、腰店233户、汲滩99户、都司114户</t>
  </si>
  <si>
    <t>17年11月，626户每户8250元，314户每户3000元，增收至20年10月底,发放完毕.</t>
  </si>
  <si>
    <t>河南丹水情肉食品有限公司</t>
  </si>
  <si>
    <t>陶营200户、文渠89户、林扒180户、小杨营120户、构林294户、裴营28户、高集4户。</t>
  </si>
  <si>
    <t>每年480元</t>
  </si>
  <si>
    <t>19年10月带贫，每户480元，增收至20年9月底，发放完毕。</t>
  </si>
  <si>
    <t>汲滩229户（20.1月新增3户）、张楼221户</t>
  </si>
  <si>
    <t>19年10月，汲滩229户、张楼221户每户480元，增收至20年9月底，发放完毕。</t>
  </si>
  <si>
    <t>邓州市方正彩印纸箱有限公司</t>
  </si>
  <si>
    <t>张楼80户</t>
  </si>
  <si>
    <t>19年10月，80户每户2400元，增收至20年9月底。发放完毕。</t>
  </si>
  <si>
    <t>邓州市长肖蔬菜种植专业合作社</t>
  </si>
  <si>
    <t>高集75户五保、5户一般或低保</t>
  </si>
  <si>
    <t>19年10月，75户五保每户480元，5户一般每户2400元，增收至20年9月底，发放完毕。</t>
  </si>
  <si>
    <t>邓州市佳利来涂料化工有限公司</t>
  </si>
  <si>
    <t>中国邮政储蓄银行股份有限公司邓州市支行</t>
  </si>
  <si>
    <t>夏集169户五保，64户一般或低保</t>
  </si>
  <si>
    <t>19年10月，169户五保户每户900元，43户一般户每户5250元，21户一般户每户3000元，增收至20年9月底，发放完毕。</t>
  </si>
  <si>
    <t>2020年8月提前还款解除</t>
  </si>
  <si>
    <t>邓州市金牛乳业有限公司</t>
  </si>
  <si>
    <t>小杨营乡199户</t>
  </si>
  <si>
    <t>17年10月，133户每户8250元，67户每户3000元，增收至20年9月底，发放完毕。</t>
  </si>
  <si>
    <t>河南省麦之源面业有限公司</t>
  </si>
  <si>
    <t>张楼133户、小杨营67户</t>
  </si>
  <si>
    <t>17年10月，张楼66户每户8250元，67户每户3000元（增收至20年9月底），小杨营67户每户8250元（增收至20年9月底），发放完毕。</t>
  </si>
  <si>
    <t>孟楼88户、都司120户、桑庄141户、杏山49户</t>
  </si>
  <si>
    <t>18年8月，266户每户6400元，132户每户3400元，增收至20年12月底，发放完毕。</t>
  </si>
  <si>
    <t>2020年8月到期解除</t>
  </si>
  <si>
    <t>邓州市骏丰家具建材有限公司</t>
  </si>
  <si>
    <t>中原银行股份有限公司邓州支行</t>
  </si>
  <si>
    <t>湍河21户、张楼30户、陶营23户、汲滩8户、小杨营10户、杏山48户</t>
  </si>
  <si>
    <t>19年9月，140户每户2400元，增收至20年8月底，发放完毕。</t>
  </si>
  <si>
    <t>邓州市建国农副产品有限公司</t>
  </si>
  <si>
    <t>陶营194户</t>
  </si>
  <si>
    <t>18年8月，129户每户5350元，65户每户2600元，增收至20年7月底，发放完毕。</t>
  </si>
  <si>
    <t>已到期解除</t>
  </si>
  <si>
    <t>邓州市华诚管业有限公司</t>
  </si>
  <si>
    <t>夏集140户</t>
  </si>
  <si>
    <t>19年8月续贷，94户每户5150元，46户每户2600元，增收至20年7月底，发放完毕。</t>
  </si>
  <si>
    <t>邓州市银和棉业有限公司</t>
  </si>
  <si>
    <t>杏山57户、白牛38户、都司81户、汲滩130户、裴营116户、穰东95户、桑庄264户、小杨营73户</t>
  </si>
  <si>
    <t>19年11月，854户每户360元，增收至20年7月底，发放完毕。</t>
  </si>
  <si>
    <t>河南天磷肥业有限公司</t>
  </si>
  <si>
    <t>中国建设银行股份有限公司邓州支行</t>
  </si>
  <si>
    <t>白牛43户、穰东17户</t>
  </si>
  <si>
    <t>19年8月，60户每户2400元，增收至20年7月底，发放完毕。</t>
  </si>
  <si>
    <t>邓州市本源农业科技有限公司</t>
  </si>
  <si>
    <t>小杨营60户</t>
  </si>
  <si>
    <t>19年7月续贷，40户每户5400元，20户每户2400元，增收至20年6月底，发放完毕。</t>
  </si>
  <si>
    <t>邓州市产业集聚区建设管理有限公司</t>
  </si>
  <si>
    <t>白牛216户、彭桥304户、高集37户、林扒189户、龙堰169、罗庄63户</t>
  </si>
  <si>
    <t>17年11月，667户每户7450元，333户每户2200元，增收至20年6月底，发放完毕。</t>
  </si>
  <si>
    <t>邓州市碧溪园生态观光农业有限公司</t>
  </si>
  <si>
    <t>龙堰40户</t>
  </si>
  <si>
    <t>19年6月续贷，27户每户2450元，13户每户2200元，增收至20年5月底，发放完毕。</t>
  </si>
  <si>
    <t>2020年3月提前还款解除</t>
  </si>
  <si>
    <t>河南黄志牧业有限公司</t>
  </si>
  <si>
    <t>文渠320户(4户解除)</t>
  </si>
  <si>
    <t>18年12月份续贷，减200万，1月带贫，216户每户3300元，108户每户1800元，增收至20年3月底。2020年3月30日提前还款解除。发放完毕</t>
  </si>
  <si>
    <t>小杨营72户</t>
  </si>
  <si>
    <t>18年1月，48户每户6450元，24户每户1800元，增收至20年3月底，发放完毕。</t>
  </si>
  <si>
    <t>陶营60户</t>
  </si>
  <si>
    <t>19年5月，续贷新增80万元，30户每户2500元，10户每户2550元，20户每户2000元，增收至20年4月底，发放完毕。</t>
  </si>
  <si>
    <t>邓州市光照酒业有限公司</t>
  </si>
  <si>
    <t>中国农业银行股份有限公司邓州市支行</t>
  </si>
  <si>
    <t>刘集86户</t>
  </si>
  <si>
    <t>18年12月份续贷新增130万，58户每户2750元，28户每户1000元，增收至19年11月底，发放完毕。</t>
  </si>
  <si>
    <t>18年12月，27户每户2750元，13户每户1000元，增收至19年11月底，发放完毕。</t>
  </si>
  <si>
    <t>金星集团南阳啤酒有限公司</t>
  </si>
  <si>
    <t>张村334户</t>
  </si>
  <si>
    <t>每年3000元</t>
  </si>
  <si>
    <t>18年6月、334户每户3000元、发放完毕，</t>
  </si>
  <si>
    <t>九龙266户</t>
  </si>
  <si>
    <t>18年6月，266户每户3000元、发放完毕</t>
  </si>
  <si>
    <t>18年9月，94户每户2900元，46户每户400元，增收至19年8月底，发放完毕。</t>
  </si>
  <si>
    <t>18年8月，94户每户2950元，46户每户200元，增收至19年7月底，发放完毕</t>
  </si>
  <si>
    <t>小杨营40户</t>
  </si>
  <si>
    <t>18年6月，40户每户3000元、发放完毕</t>
  </si>
  <si>
    <t>邓州市新亚通讯器材有限责任公司</t>
  </si>
  <si>
    <t>夏集67户</t>
  </si>
  <si>
    <t>18年6月、67户每户3000元、发放完毕</t>
  </si>
  <si>
    <t>陶营30户</t>
  </si>
  <si>
    <t>18年4月、30户每户3000元、发放完毕</t>
  </si>
  <si>
    <t>白牛36户、穰东4户</t>
  </si>
  <si>
    <t>18年7月，40户每户3000元、发放完毕</t>
  </si>
  <si>
    <t>龙堰27户</t>
  </si>
  <si>
    <t>18年6月，27户每户3000元，发放完毕</t>
  </si>
  <si>
    <t>王邓亚（个体工商户）</t>
  </si>
  <si>
    <t>湍河5户一般或低保，4户五保</t>
  </si>
  <si>
    <t>每年3000元/400元</t>
  </si>
  <si>
    <t>18年11月，5户五保400元，5户一般3000元，发放完毕</t>
  </si>
  <si>
    <t>小杨营户78、都司86户、汲滩139户、裴营142户、白牛39户、穰东104户、桑庄329，杏山58</t>
  </si>
  <si>
    <t>18年11月、每户428元，增收至19年10月底，发放完毕</t>
  </si>
  <si>
    <t>陶营212户、文渠96户、林扒199户、小杨营125户、构林306户、裴营31户 、高集5户。</t>
  </si>
  <si>
    <t>18年10月、每户440元，增收至19年9月底,发放完毕。</t>
  </si>
  <si>
    <t>汲滩230户、张楼230户</t>
  </si>
  <si>
    <t>18年10月、每户420元，增收至19年9月，发放完毕</t>
  </si>
  <si>
    <t>18年10月、75户五保每户420元、4户一般每户2850元，1户600元，增收至19年9月底，发放完毕。</t>
  </si>
  <si>
    <t>夏集175户五保，64户一般或低保</t>
  </si>
  <si>
    <t>18年10月份、179户五保户每户420元，43户一般户每户2850元，21户一般户每户600元，增收至19年9月底，发放完毕。</t>
  </si>
  <si>
    <t>刘集40户</t>
  </si>
  <si>
    <t>17年10月，每户3000元，到期续贷430万、发放完毕</t>
  </si>
  <si>
    <t>文渠243户</t>
  </si>
  <si>
    <t>18年1月，每户3000元，12月份到期续贷1620万、发放完毕</t>
  </si>
  <si>
    <t>2016年12月、2017年1月、2月</t>
  </si>
  <si>
    <t>2017年12月、2018年1月、2月</t>
  </si>
  <si>
    <t>小杨营、文渠、赵集等100户</t>
  </si>
  <si>
    <t>每年5000元</t>
  </si>
  <si>
    <t>17年1年期到期解除，每户5000元、发放完毕</t>
  </si>
  <si>
    <t>裴营40户</t>
  </si>
  <si>
    <t>17年12月，每户3000元、发放完毕</t>
  </si>
  <si>
    <t>裴营33户文渠7户</t>
  </si>
  <si>
    <t>裴营52户，罗庄63户</t>
  </si>
  <si>
    <t>19年1月，78户每户2700元，38户每户1200元，增收至19年12月，发放完毕。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</si>
</sst>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yyyy&quot;年&quot;m&quot;月&quot;d&quot;日&quot;;@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3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1"/>
  <sheetViews>
    <sheetView tabSelected="1" zoomScale="55" zoomScaleNormal="55" workbookViewId="0">
      <selection activeCell="R5" sqref="R5"/>
    </sheetView>
  </sheetViews>
  <sheetFormatPr defaultColWidth="9" defaultRowHeight="13.5"/>
  <cols>
    <col min="1" max="1" width="9.31666666666667" style="4" customWidth="1"/>
    <col min="2" max="2" width="19.1" style="4" customWidth="1"/>
    <col min="3" max="3" width="31.2416666666667" style="5" customWidth="1"/>
    <col min="4" max="4" width="15.175" style="4" customWidth="1"/>
    <col min="5" max="5" width="11.6083333333333" style="4" customWidth="1"/>
    <col min="6" max="6" width="17.2666666666667" style="4" customWidth="1"/>
    <col min="7" max="7" width="29.8166666666667" style="4" customWidth="1"/>
    <col min="8" max="8" width="15.35" style="4" customWidth="1"/>
    <col min="9" max="9" width="11.95" style="4" customWidth="1"/>
    <col min="10" max="10" width="12.725" style="4" customWidth="1"/>
    <col min="11" max="11" width="12.8583333333333" style="4" customWidth="1"/>
    <col min="12" max="12" width="54.0833333333333" style="3" customWidth="1"/>
    <col min="13" max="13" width="15.6166666666667" style="3" customWidth="1"/>
    <col min="14" max="14" width="14.6833333333333" style="4" customWidth="1"/>
    <col min="15" max="15" width="10.7" style="4" customWidth="1"/>
    <col min="16" max="16" width="10.35" style="4" customWidth="1"/>
    <col min="17" max="17" width="13.9666666666667" style="4" customWidth="1"/>
    <col min="18" max="18" width="14.6416666666667" style="4" customWidth="1"/>
    <col min="19" max="19" width="73.4" style="4" customWidth="1"/>
    <col min="20" max="20" width="12.6333333333333" style="6"/>
    <col min="21" max="21" width="26.7833333333333" style="4" customWidth="1"/>
    <col min="22" max="22" width="14.4083333333333" style="4" customWidth="1"/>
    <col min="23" max="23" width="18.2083333333333" style="4" customWidth="1"/>
    <col min="24" max="24" width="17.4916666666667" style="4" customWidth="1"/>
    <col min="25" max="25" width="42.1833333333333" style="4" customWidth="1"/>
    <col min="26" max="16384" width="9" style="4"/>
  </cols>
  <sheetData>
    <row r="1" ht="46.5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37" customHeight="1" spans="1:19">
      <c r="A2" s="8"/>
      <c r="B2" s="8"/>
      <c r="C2" s="8"/>
      <c r="D2" s="8"/>
      <c r="E2" s="8"/>
      <c r="F2" s="8"/>
      <c r="G2" s="8"/>
      <c r="H2" s="9"/>
      <c r="I2" s="20" t="s">
        <v>1</v>
      </c>
      <c r="J2" s="20"/>
      <c r="K2" s="20"/>
      <c r="L2" s="20"/>
      <c r="M2" s="20"/>
      <c r="N2" s="20"/>
      <c r="O2" s="20"/>
      <c r="P2" s="21"/>
      <c r="Q2" s="21"/>
      <c r="R2" s="21"/>
      <c r="S2" s="21"/>
    </row>
    <row r="3" ht="80" customHeight="1" spans="1:2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22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V3" s="28"/>
      <c r="W3" s="29"/>
    </row>
    <row r="4" s="1" customFormat="1" ht="80" customHeight="1" spans="1:22">
      <c r="A4" s="12">
        <v>1</v>
      </c>
      <c r="B4" s="12" t="s">
        <v>21</v>
      </c>
      <c r="C4" s="12" t="s">
        <v>22</v>
      </c>
      <c r="D4" s="12" t="s">
        <v>23</v>
      </c>
      <c r="E4" s="12" t="s">
        <v>24</v>
      </c>
      <c r="F4" s="13">
        <v>43229</v>
      </c>
      <c r="G4" s="13">
        <v>44215</v>
      </c>
      <c r="H4" s="12">
        <v>192</v>
      </c>
      <c r="I4" s="12">
        <f>198-H4</f>
        <v>6</v>
      </c>
      <c r="J4" s="12">
        <v>990</v>
      </c>
      <c r="K4" s="12">
        <v>0</v>
      </c>
      <c r="L4" s="12" t="s">
        <v>25</v>
      </c>
      <c r="M4" s="12" t="s">
        <v>26</v>
      </c>
      <c r="N4" s="23">
        <v>0</v>
      </c>
      <c r="O4" s="23">
        <f>132*2250</f>
        <v>297000</v>
      </c>
      <c r="P4" s="23">
        <v>283800</v>
      </c>
      <c r="Q4" s="23">
        <f>193*1200+2*600+192*1800</f>
        <v>578400</v>
      </c>
      <c r="R4" s="23">
        <f t="shared" ref="R4:R21" si="0">N4+O4+P4+Q4</f>
        <v>1159200</v>
      </c>
      <c r="S4" s="12" t="s">
        <v>27</v>
      </c>
      <c r="T4" s="30"/>
      <c r="U4" s="31"/>
      <c r="V4" s="31"/>
    </row>
    <row r="5" s="1" customFormat="1" ht="80" customHeight="1" spans="1:20">
      <c r="A5" s="12">
        <v>2</v>
      </c>
      <c r="B5" s="12" t="s">
        <v>28</v>
      </c>
      <c r="C5" s="12" t="s">
        <v>29</v>
      </c>
      <c r="D5" s="12" t="s">
        <v>23</v>
      </c>
      <c r="E5" s="12" t="s">
        <v>30</v>
      </c>
      <c r="F5" s="13">
        <v>43706</v>
      </c>
      <c r="G5" s="13">
        <v>44406</v>
      </c>
      <c r="H5" s="12">
        <v>399</v>
      </c>
      <c r="I5" s="12">
        <v>0</v>
      </c>
      <c r="J5" s="12">
        <v>1995</v>
      </c>
      <c r="K5" s="12">
        <v>0</v>
      </c>
      <c r="L5" s="12" t="s">
        <v>31</v>
      </c>
      <c r="M5" s="12" t="s">
        <v>26</v>
      </c>
      <c r="N5" s="23">
        <v>0</v>
      </c>
      <c r="O5" s="23">
        <v>0</v>
      </c>
      <c r="P5" s="23">
        <v>478800</v>
      </c>
      <c r="Q5" s="23">
        <f>336*2000+63*2000</f>
        <v>798000</v>
      </c>
      <c r="R5" s="23">
        <f t="shared" si="0"/>
        <v>1276800</v>
      </c>
      <c r="S5" s="12" t="s">
        <v>32</v>
      </c>
      <c r="T5" s="30"/>
    </row>
    <row r="6" s="1" customFormat="1" ht="80" customHeight="1" spans="1:20">
      <c r="A6" s="12">
        <v>3</v>
      </c>
      <c r="B6" s="12" t="s">
        <v>33</v>
      </c>
      <c r="C6" s="12" t="s">
        <v>34</v>
      </c>
      <c r="D6" s="12" t="s">
        <v>23</v>
      </c>
      <c r="E6" s="12" t="s">
        <v>24</v>
      </c>
      <c r="F6" s="13">
        <v>43069</v>
      </c>
      <c r="G6" s="13">
        <v>44157</v>
      </c>
      <c r="H6" s="12">
        <v>0</v>
      </c>
      <c r="I6" s="12">
        <v>198</v>
      </c>
      <c r="J6" s="12">
        <v>0</v>
      </c>
      <c r="K6" s="12">
        <v>990</v>
      </c>
      <c r="L6" s="12" t="s">
        <v>35</v>
      </c>
      <c r="M6" s="12" t="s">
        <v>26</v>
      </c>
      <c r="N6" s="23">
        <v>0</v>
      </c>
      <c r="O6" s="23">
        <v>396000</v>
      </c>
      <c r="P6" s="23">
        <v>468600</v>
      </c>
      <c r="Q6" s="23">
        <f>198*2200</f>
        <v>435600</v>
      </c>
      <c r="R6" s="23">
        <f t="shared" si="0"/>
        <v>1300200</v>
      </c>
      <c r="S6" s="12" t="s">
        <v>36</v>
      </c>
      <c r="T6" s="30"/>
    </row>
    <row r="7" s="1" customFormat="1" ht="80" customHeight="1" spans="1:20">
      <c r="A7" s="12">
        <v>4</v>
      </c>
      <c r="B7" s="12" t="s">
        <v>33</v>
      </c>
      <c r="C7" s="12" t="s">
        <v>37</v>
      </c>
      <c r="D7" s="12" t="s">
        <v>23</v>
      </c>
      <c r="E7" s="12" t="s">
        <v>24</v>
      </c>
      <c r="F7" s="13">
        <v>43069</v>
      </c>
      <c r="G7" s="13">
        <v>44165</v>
      </c>
      <c r="H7" s="12">
        <v>0</v>
      </c>
      <c r="I7" s="12">
        <v>198</v>
      </c>
      <c r="J7" s="12">
        <v>0</v>
      </c>
      <c r="K7" s="12">
        <v>990</v>
      </c>
      <c r="L7" s="12" t="s">
        <v>35</v>
      </c>
      <c r="M7" s="12" t="s">
        <v>26</v>
      </c>
      <c r="N7" s="23">
        <v>0</v>
      </c>
      <c r="O7" s="23">
        <v>396000</v>
      </c>
      <c r="P7" s="23">
        <v>468600</v>
      </c>
      <c r="Q7" s="23">
        <f>198*2200</f>
        <v>435600</v>
      </c>
      <c r="R7" s="23">
        <f t="shared" si="0"/>
        <v>1300200</v>
      </c>
      <c r="S7" s="12" t="s">
        <v>36</v>
      </c>
      <c r="T7" s="30"/>
    </row>
    <row r="8" s="1" customFormat="1" ht="80" customHeight="1" spans="1:22">
      <c r="A8" s="12">
        <v>5</v>
      </c>
      <c r="B8" s="12" t="s">
        <v>33</v>
      </c>
      <c r="C8" s="12" t="s">
        <v>38</v>
      </c>
      <c r="D8" s="12" t="s">
        <v>39</v>
      </c>
      <c r="E8" s="12" t="s">
        <v>24</v>
      </c>
      <c r="F8" s="14">
        <v>43797</v>
      </c>
      <c r="G8" s="14">
        <v>44162</v>
      </c>
      <c r="H8" s="12">
        <v>0</v>
      </c>
      <c r="I8" s="12">
        <v>40</v>
      </c>
      <c r="J8" s="12">
        <v>0</v>
      </c>
      <c r="K8" s="12">
        <v>200</v>
      </c>
      <c r="L8" s="12" t="s">
        <v>40</v>
      </c>
      <c r="M8" s="12" t="s">
        <v>26</v>
      </c>
      <c r="N8" s="23">
        <v>0</v>
      </c>
      <c r="O8" s="23">
        <v>0</v>
      </c>
      <c r="P8" s="23">
        <v>0</v>
      </c>
      <c r="Q8" s="23">
        <f>40*200+40*2200</f>
        <v>96000</v>
      </c>
      <c r="R8" s="23">
        <f t="shared" si="0"/>
        <v>96000</v>
      </c>
      <c r="S8" s="32" t="s">
        <v>41</v>
      </c>
      <c r="T8" s="18"/>
      <c r="U8" s="31"/>
      <c r="V8" s="31"/>
    </row>
    <row r="9" s="1" customFormat="1" ht="80" customHeight="1" spans="1:22">
      <c r="A9" s="12">
        <v>6</v>
      </c>
      <c r="B9" s="12" t="s">
        <v>33</v>
      </c>
      <c r="C9" s="12" t="s">
        <v>42</v>
      </c>
      <c r="D9" s="12" t="s">
        <v>23</v>
      </c>
      <c r="E9" s="12" t="s">
        <v>30</v>
      </c>
      <c r="F9" s="13">
        <v>43472</v>
      </c>
      <c r="G9" s="15">
        <v>44162</v>
      </c>
      <c r="H9" s="12">
        <v>0</v>
      </c>
      <c r="I9" s="12">
        <v>2600</v>
      </c>
      <c r="J9" s="12">
        <v>0</v>
      </c>
      <c r="K9" s="12">
        <v>5000</v>
      </c>
      <c r="L9" s="24" t="s">
        <v>43</v>
      </c>
      <c r="M9" s="12" t="s">
        <v>44</v>
      </c>
      <c r="N9" s="23">
        <v>0</v>
      </c>
      <c r="O9" s="23">
        <f>2000*200+400*1500</f>
        <v>1000000</v>
      </c>
      <c r="P9" s="23">
        <v>1185600</v>
      </c>
      <c r="Q9" s="23">
        <f>(46+26+243+205+211+295+240+254+292+24+5)*440+(100+200+100+100+97)*2200</f>
        <v>2123440</v>
      </c>
      <c r="R9" s="23">
        <f t="shared" si="0"/>
        <v>4309040</v>
      </c>
      <c r="S9" s="12" t="s">
        <v>45</v>
      </c>
      <c r="T9" s="18"/>
      <c r="U9" s="31"/>
      <c r="V9" s="31"/>
    </row>
    <row r="10" s="1" customFormat="1" ht="80" customHeight="1" spans="1:22">
      <c r="A10" s="12">
        <v>7</v>
      </c>
      <c r="B10" s="12" t="s">
        <v>33</v>
      </c>
      <c r="C10" s="12" t="s">
        <v>46</v>
      </c>
      <c r="D10" s="12" t="s">
        <v>23</v>
      </c>
      <c r="E10" s="12" t="s">
        <v>24</v>
      </c>
      <c r="F10" s="13">
        <v>43454</v>
      </c>
      <c r="G10" s="13">
        <v>44185</v>
      </c>
      <c r="H10" s="12">
        <v>0</v>
      </c>
      <c r="I10" s="12">
        <v>60</v>
      </c>
      <c r="J10" s="12">
        <v>0</v>
      </c>
      <c r="K10" s="12">
        <v>300</v>
      </c>
      <c r="L10" s="12" t="s">
        <v>47</v>
      </c>
      <c r="M10" s="12" t="s">
        <v>26</v>
      </c>
      <c r="N10" s="23">
        <v>0</v>
      </c>
      <c r="O10" s="23">
        <v>0</v>
      </c>
      <c r="P10" s="23">
        <v>132000</v>
      </c>
      <c r="Q10" s="23">
        <v>144000</v>
      </c>
      <c r="R10" s="23">
        <f t="shared" si="0"/>
        <v>276000</v>
      </c>
      <c r="S10" s="12" t="s">
        <v>48</v>
      </c>
      <c r="T10" s="18"/>
      <c r="U10" s="31"/>
      <c r="V10" s="31"/>
    </row>
    <row r="11" s="1" customFormat="1" ht="80" customHeight="1" spans="1:22">
      <c r="A11" s="12">
        <v>8</v>
      </c>
      <c r="B11" s="12" t="s">
        <v>33</v>
      </c>
      <c r="C11" s="12" t="s">
        <v>49</v>
      </c>
      <c r="D11" s="12" t="s">
        <v>23</v>
      </c>
      <c r="E11" s="12" t="s">
        <v>24</v>
      </c>
      <c r="F11" s="13">
        <v>43454</v>
      </c>
      <c r="G11" s="13">
        <v>44185</v>
      </c>
      <c r="H11" s="12">
        <v>0</v>
      </c>
      <c r="I11" s="12">
        <v>60</v>
      </c>
      <c r="J11" s="12">
        <v>0</v>
      </c>
      <c r="K11" s="12">
        <v>300</v>
      </c>
      <c r="L11" s="12" t="s">
        <v>50</v>
      </c>
      <c r="M11" s="12" t="s">
        <v>26</v>
      </c>
      <c r="N11" s="23">
        <v>0</v>
      </c>
      <c r="O11" s="23">
        <v>0</v>
      </c>
      <c r="P11" s="23">
        <v>132000</v>
      </c>
      <c r="Q11" s="23">
        <v>141600</v>
      </c>
      <c r="R11" s="23">
        <f t="shared" si="0"/>
        <v>273600</v>
      </c>
      <c r="S11" s="12" t="s">
        <v>51</v>
      </c>
      <c r="T11" s="18"/>
      <c r="U11" s="31"/>
      <c r="V11" s="31"/>
    </row>
    <row r="12" s="1" customFormat="1" ht="80" customHeight="1" spans="1:22">
      <c r="A12" s="12">
        <v>9</v>
      </c>
      <c r="B12" s="12" t="s">
        <v>33</v>
      </c>
      <c r="C12" s="12" t="s">
        <v>52</v>
      </c>
      <c r="D12" s="12" t="s">
        <v>23</v>
      </c>
      <c r="E12" s="12" t="s">
        <v>24</v>
      </c>
      <c r="F12" s="13">
        <v>43454</v>
      </c>
      <c r="G12" s="13">
        <v>44185</v>
      </c>
      <c r="H12" s="12">
        <v>0</v>
      </c>
      <c r="I12" s="12">
        <v>60</v>
      </c>
      <c r="J12" s="12">
        <v>0</v>
      </c>
      <c r="K12" s="12">
        <v>300</v>
      </c>
      <c r="L12" s="12" t="s">
        <v>53</v>
      </c>
      <c r="M12" s="12" t="s">
        <v>26</v>
      </c>
      <c r="N12" s="23">
        <v>0</v>
      </c>
      <c r="O12" s="23">
        <v>0</v>
      </c>
      <c r="P12" s="23">
        <v>132000</v>
      </c>
      <c r="Q12" s="23">
        <v>144000</v>
      </c>
      <c r="R12" s="23">
        <f t="shared" si="0"/>
        <v>276000</v>
      </c>
      <c r="S12" s="12" t="s">
        <v>48</v>
      </c>
      <c r="T12" s="18"/>
      <c r="U12" s="31"/>
      <c r="V12" s="31"/>
    </row>
    <row r="13" s="1" customFormat="1" ht="80" customHeight="1" spans="1:22">
      <c r="A13" s="12">
        <v>10</v>
      </c>
      <c r="B13" s="12" t="s">
        <v>33</v>
      </c>
      <c r="C13" s="12" t="s">
        <v>54</v>
      </c>
      <c r="D13" s="12" t="s">
        <v>23</v>
      </c>
      <c r="E13" s="12" t="s">
        <v>24</v>
      </c>
      <c r="F13" s="13">
        <v>43454</v>
      </c>
      <c r="G13" s="13">
        <v>44185</v>
      </c>
      <c r="H13" s="12">
        <v>0</v>
      </c>
      <c r="I13" s="12">
        <v>60</v>
      </c>
      <c r="J13" s="12">
        <v>0</v>
      </c>
      <c r="K13" s="12">
        <v>300</v>
      </c>
      <c r="L13" s="12" t="s">
        <v>55</v>
      </c>
      <c r="M13" s="12" t="s">
        <v>26</v>
      </c>
      <c r="N13" s="23">
        <v>0</v>
      </c>
      <c r="O13" s="23">
        <v>0</v>
      </c>
      <c r="P13" s="23">
        <v>132000</v>
      </c>
      <c r="Q13" s="23">
        <v>144000</v>
      </c>
      <c r="R13" s="23">
        <f t="shared" si="0"/>
        <v>276000</v>
      </c>
      <c r="S13" s="12" t="s">
        <v>48</v>
      </c>
      <c r="T13" s="18"/>
      <c r="U13" s="31"/>
      <c r="V13" s="31"/>
    </row>
    <row r="14" s="1" customFormat="1" ht="80" customHeight="1" spans="1:22">
      <c r="A14" s="12">
        <v>11</v>
      </c>
      <c r="B14" s="12" t="s">
        <v>33</v>
      </c>
      <c r="C14" s="12" t="s">
        <v>56</v>
      </c>
      <c r="D14" s="12" t="s">
        <v>23</v>
      </c>
      <c r="E14" s="12" t="s">
        <v>24</v>
      </c>
      <c r="F14" s="13">
        <v>43454</v>
      </c>
      <c r="G14" s="13">
        <v>44185</v>
      </c>
      <c r="H14" s="12">
        <v>0</v>
      </c>
      <c r="I14" s="12">
        <v>60</v>
      </c>
      <c r="J14" s="12">
        <v>0</v>
      </c>
      <c r="K14" s="12">
        <v>300</v>
      </c>
      <c r="L14" s="12" t="s">
        <v>57</v>
      </c>
      <c r="M14" s="12" t="s">
        <v>26</v>
      </c>
      <c r="N14" s="23">
        <v>0</v>
      </c>
      <c r="O14" s="23">
        <v>0</v>
      </c>
      <c r="P14" s="23">
        <v>132000</v>
      </c>
      <c r="Q14" s="23">
        <v>141600</v>
      </c>
      <c r="R14" s="23">
        <f t="shared" si="0"/>
        <v>273600</v>
      </c>
      <c r="S14" s="12" t="s">
        <v>58</v>
      </c>
      <c r="T14" s="18"/>
      <c r="U14" s="31"/>
      <c r="V14" s="31"/>
    </row>
    <row r="15" s="1" customFormat="1" ht="80" customHeight="1" spans="1:22">
      <c r="A15" s="12">
        <v>12</v>
      </c>
      <c r="B15" s="12" t="s">
        <v>33</v>
      </c>
      <c r="C15" s="12" t="s">
        <v>59</v>
      </c>
      <c r="D15" s="12" t="s">
        <v>23</v>
      </c>
      <c r="E15" s="12" t="s">
        <v>24</v>
      </c>
      <c r="F15" s="13">
        <v>43454</v>
      </c>
      <c r="G15" s="13">
        <v>44185</v>
      </c>
      <c r="H15" s="12">
        <v>0</v>
      </c>
      <c r="I15" s="12">
        <v>60</v>
      </c>
      <c r="J15" s="12">
        <v>0</v>
      </c>
      <c r="K15" s="12">
        <v>300</v>
      </c>
      <c r="L15" s="12" t="s">
        <v>60</v>
      </c>
      <c r="M15" s="12" t="s">
        <v>26</v>
      </c>
      <c r="N15" s="23">
        <v>0</v>
      </c>
      <c r="O15" s="23">
        <v>0</v>
      </c>
      <c r="P15" s="23">
        <v>132000</v>
      </c>
      <c r="Q15" s="23">
        <v>139200</v>
      </c>
      <c r="R15" s="23">
        <f t="shared" si="0"/>
        <v>271200</v>
      </c>
      <c r="S15" s="12" t="s">
        <v>61</v>
      </c>
      <c r="T15" s="18"/>
      <c r="U15" s="31"/>
      <c r="V15" s="31"/>
    </row>
    <row r="16" s="1" customFormat="1" ht="80" customHeight="1" spans="1:22">
      <c r="A16" s="12">
        <v>13</v>
      </c>
      <c r="B16" s="12" t="s">
        <v>33</v>
      </c>
      <c r="C16" s="12" t="s">
        <v>62</v>
      </c>
      <c r="D16" s="12" t="s">
        <v>23</v>
      </c>
      <c r="E16" s="12" t="s">
        <v>24</v>
      </c>
      <c r="F16" s="13">
        <v>43454</v>
      </c>
      <c r="G16" s="13">
        <v>44185</v>
      </c>
      <c r="H16" s="12">
        <v>0</v>
      </c>
      <c r="I16" s="12">
        <v>60</v>
      </c>
      <c r="J16" s="12">
        <v>0</v>
      </c>
      <c r="K16" s="12">
        <v>300</v>
      </c>
      <c r="L16" s="12" t="s">
        <v>63</v>
      </c>
      <c r="M16" s="12" t="s">
        <v>26</v>
      </c>
      <c r="N16" s="23">
        <v>0</v>
      </c>
      <c r="O16" s="23">
        <v>0</v>
      </c>
      <c r="P16" s="23">
        <v>132000</v>
      </c>
      <c r="Q16" s="23">
        <v>136800</v>
      </c>
      <c r="R16" s="23">
        <f t="shared" si="0"/>
        <v>268800</v>
      </c>
      <c r="S16" s="12" t="s">
        <v>64</v>
      </c>
      <c r="T16" s="18"/>
      <c r="U16" s="31"/>
      <c r="V16" s="31"/>
    </row>
    <row r="17" s="1" customFormat="1" ht="80" customHeight="1" spans="1:22">
      <c r="A17" s="12">
        <v>14</v>
      </c>
      <c r="B17" s="12" t="s">
        <v>33</v>
      </c>
      <c r="C17" s="12" t="s">
        <v>65</v>
      </c>
      <c r="D17" s="12" t="s">
        <v>23</v>
      </c>
      <c r="E17" s="12" t="s">
        <v>24</v>
      </c>
      <c r="F17" s="13">
        <v>43454</v>
      </c>
      <c r="G17" s="13">
        <v>44187</v>
      </c>
      <c r="H17" s="12">
        <v>0</v>
      </c>
      <c r="I17" s="12">
        <v>60</v>
      </c>
      <c r="J17" s="12">
        <v>0</v>
      </c>
      <c r="K17" s="12">
        <v>300</v>
      </c>
      <c r="L17" s="12" t="s">
        <v>66</v>
      </c>
      <c r="M17" s="12" t="s">
        <v>26</v>
      </c>
      <c r="N17" s="23">
        <v>0</v>
      </c>
      <c r="O17" s="23">
        <v>0</v>
      </c>
      <c r="P17" s="23">
        <v>132000</v>
      </c>
      <c r="Q17" s="23">
        <v>139200</v>
      </c>
      <c r="R17" s="23">
        <f t="shared" si="0"/>
        <v>271200</v>
      </c>
      <c r="S17" s="12" t="s">
        <v>67</v>
      </c>
      <c r="T17" s="18"/>
      <c r="U17" s="31"/>
      <c r="V17" s="31"/>
    </row>
    <row r="18" s="1" customFormat="1" ht="80" customHeight="1" spans="1:22">
      <c r="A18" s="12">
        <v>15</v>
      </c>
      <c r="B18" s="12" t="s">
        <v>33</v>
      </c>
      <c r="C18" s="12" t="s">
        <v>68</v>
      </c>
      <c r="D18" s="12" t="s">
        <v>23</v>
      </c>
      <c r="E18" s="12" t="s">
        <v>24</v>
      </c>
      <c r="F18" s="13">
        <v>43454</v>
      </c>
      <c r="G18" s="13">
        <v>44186</v>
      </c>
      <c r="H18" s="12">
        <v>0</v>
      </c>
      <c r="I18" s="12">
        <v>60</v>
      </c>
      <c r="J18" s="12">
        <v>0</v>
      </c>
      <c r="K18" s="12">
        <v>300</v>
      </c>
      <c r="L18" s="12" t="s">
        <v>69</v>
      </c>
      <c r="M18" s="12" t="s">
        <v>26</v>
      </c>
      <c r="N18" s="23">
        <v>0</v>
      </c>
      <c r="O18" s="23">
        <v>0</v>
      </c>
      <c r="P18" s="23">
        <v>132000</v>
      </c>
      <c r="Q18" s="23">
        <v>141600</v>
      </c>
      <c r="R18" s="23">
        <f t="shared" si="0"/>
        <v>273600</v>
      </c>
      <c r="S18" s="12" t="s">
        <v>51</v>
      </c>
      <c r="T18" s="18"/>
      <c r="U18" s="31"/>
      <c r="V18" s="31"/>
    </row>
    <row r="19" s="1" customFormat="1" ht="80" customHeight="1" spans="1:22">
      <c r="A19" s="12">
        <v>16</v>
      </c>
      <c r="B19" s="12" t="s">
        <v>33</v>
      </c>
      <c r="C19" s="12" t="s">
        <v>70</v>
      </c>
      <c r="D19" s="12" t="s">
        <v>23</v>
      </c>
      <c r="E19" s="12" t="s">
        <v>24</v>
      </c>
      <c r="F19" s="13">
        <v>43454</v>
      </c>
      <c r="G19" s="13">
        <v>44185</v>
      </c>
      <c r="H19" s="12">
        <v>0</v>
      </c>
      <c r="I19" s="12">
        <v>60</v>
      </c>
      <c r="J19" s="12">
        <v>0</v>
      </c>
      <c r="K19" s="12">
        <v>300</v>
      </c>
      <c r="L19" s="12" t="s">
        <v>71</v>
      </c>
      <c r="M19" s="12" t="s">
        <v>26</v>
      </c>
      <c r="N19" s="23">
        <v>0</v>
      </c>
      <c r="O19" s="23">
        <v>0</v>
      </c>
      <c r="P19" s="23">
        <v>132000</v>
      </c>
      <c r="Q19" s="23">
        <v>141600</v>
      </c>
      <c r="R19" s="23">
        <f t="shared" si="0"/>
        <v>273600</v>
      </c>
      <c r="S19" s="12" t="s">
        <v>51</v>
      </c>
      <c r="T19" s="18"/>
      <c r="U19" s="31"/>
      <c r="V19" s="31"/>
    </row>
    <row r="20" s="1" customFormat="1" ht="80" customHeight="1" spans="1:22">
      <c r="A20" s="12">
        <v>17</v>
      </c>
      <c r="B20" s="12" t="s">
        <v>33</v>
      </c>
      <c r="C20" s="12" t="s">
        <v>72</v>
      </c>
      <c r="D20" s="12" t="s">
        <v>23</v>
      </c>
      <c r="E20" s="12" t="s">
        <v>24</v>
      </c>
      <c r="F20" s="13">
        <v>43454</v>
      </c>
      <c r="G20" s="13">
        <v>44185</v>
      </c>
      <c r="H20" s="12">
        <v>0</v>
      </c>
      <c r="I20" s="12">
        <v>60</v>
      </c>
      <c r="J20" s="12">
        <v>0</v>
      </c>
      <c r="K20" s="12">
        <v>300</v>
      </c>
      <c r="L20" s="12" t="s">
        <v>73</v>
      </c>
      <c r="M20" s="12" t="s">
        <v>26</v>
      </c>
      <c r="N20" s="23">
        <v>0</v>
      </c>
      <c r="O20" s="23">
        <v>0</v>
      </c>
      <c r="P20" s="23">
        <v>132000</v>
      </c>
      <c r="Q20" s="23">
        <v>139200</v>
      </c>
      <c r="R20" s="23">
        <f t="shared" si="0"/>
        <v>271200</v>
      </c>
      <c r="S20" s="12" t="s">
        <v>61</v>
      </c>
      <c r="T20" s="18"/>
      <c r="U20" s="31"/>
      <c r="V20" s="31"/>
    </row>
    <row r="21" s="1" customFormat="1" ht="80" customHeight="1" spans="1:22">
      <c r="A21" s="12">
        <v>18</v>
      </c>
      <c r="B21" s="12" t="s">
        <v>33</v>
      </c>
      <c r="C21" s="12" t="s">
        <v>74</v>
      </c>
      <c r="D21" s="12" t="s">
        <v>23</v>
      </c>
      <c r="E21" s="12" t="s">
        <v>24</v>
      </c>
      <c r="F21" s="13">
        <v>43454</v>
      </c>
      <c r="G21" s="13">
        <v>44185</v>
      </c>
      <c r="H21" s="12">
        <v>0</v>
      </c>
      <c r="I21" s="12">
        <v>60</v>
      </c>
      <c r="J21" s="12">
        <v>0</v>
      </c>
      <c r="K21" s="12">
        <v>300</v>
      </c>
      <c r="L21" s="12" t="s">
        <v>75</v>
      </c>
      <c r="M21" s="12" t="s">
        <v>26</v>
      </c>
      <c r="N21" s="23">
        <v>0</v>
      </c>
      <c r="O21" s="23">
        <v>0</v>
      </c>
      <c r="P21" s="23">
        <v>132000</v>
      </c>
      <c r="Q21" s="23">
        <v>139200</v>
      </c>
      <c r="R21" s="23">
        <f t="shared" si="0"/>
        <v>271200</v>
      </c>
      <c r="S21" s="12" t="s">
        <v>61</v>
      </c>
      <c r="T21" s="18"/>
      <c r="U21" s="31"/>
      <c r="V21" s="31"/>
    </row>
    <row r="22" s="1" customFormat="1" ht="80" customHeight="1" spans="1:22">
      <c r="A22" s="12">
        <v>19</v>
      </c>
      <c r="B22" s="12" t="s">
        <v>76</v>
      </c>
      <c r="C22" s="12" t="s">
        <v>77</v>
      </c>
      <c r="D22" s="12" t="s">
        <v>23</v>
      </c>
      <c r="E22" s="12" t="s">
        <v>24</v>
      </c>
      <c r="F22" s="13">
        <v>43008</v>
      </c>
      <c r="G22" s="13">
        <v>44104</v>
      </c>
      <c r="H22" s="16">
        <v>0</v>
      </c>
      <c r="I22" s="16">
        <v>100</v>
      </c>
      <c r="J22" s="12">
        <v>0</v>
      </c>
      <c r="K22" s="12">
        <v>500</v>
      </c>
      <c r="L22" s="12" t="s">
        <v>78</v>
      </c>
      <c r="M22" s="12" t="s">
        <v>26</v>
      </c>
      <c r="N22" s="23">
        <v>201000</v>
      </c>
      <c r="O22" s="23">
        <f>67*3000</f>
        <v>201000</v>
      </c>
      <c r="P22" s="23">
        <v>120000</v>
      </c>
      <c r="Q22" s="23">
        <f>100*1200</f>
        <v>120000</v>
      </c>
      <c r="R22" s="23">
        <f t="shared" ref="R22:R43" si="1">N22+O22+P22+Q22</f>
        <v>642000</v>
      </c>
      <c r="S22" s="12" t="s">
        <v>79</v>
      </c>
      <c r="T22" s="30"/>
      <c r="U22" s="31"/>
      <c r="V22" s="31"/>
    </row>
    <row r="23" s="1" customFormat="1" ht="80" customHeight="1" spans="1:20">
      <c r="A23" s="12">
        <v>20</v>
      </c>
      <c r="B23" s="12" t="s">
        <v>76</v>
      </c>
      <c r="C23" s="12" t="s">
        <v>80</v>
      </c>
      <c r="D23" s="12" t="s">
        <v>23</v>
      </c>
      <c r="E23" s="12" t="s">
        <v>24</v>
      </c>
      <c r="F23" s="13">
        <v>43047</v>
      </c>
      <c r="G23" s="13">
        <v>44099</v>
      </c>
      <c r="H23" s="16">
        <v>0</v>
      </c>
      <c r="I23" s="16">
        <v>60</v>
      </c>
      <c r="J23" s="12">
        <v>0</v>
      </c>
      <c r="K23" s="12">
        <v>300</v>
      </c>
      <c r="L23" s="12" t="s">
        <v>81</v>
      </c>
      <c r="M23" s="12" t="s">
        <v>26</v>
      </c>
      <c r="N23" s="23">
        <v>120000</v>
      </c>
      <c r="O23" s="23">
        <f>1500*40</f>
        <v>60000</v>
      </c>
      <c r="P23" s="23">
        <v>90000</v>
      </c>
      <c r="Q23" s="23">
        <f t="shared" ref="Q23:Q25" si="2">60*1800</f>
        <v>108000</v>
      </c>
      <c r="R23" s="23">
        <f t="shared" si="1"/>
        <v>378000</v>
      </c>
      <c r="S23" s="12" t="s">
        <v>82</v>
      </c>
      <c r="T23" s="30"/>
    </row>
    <row r="24" s="1" customFormat="1" ht="80" customHeight="1" spans="1:20">
      <c r="A24" s="12">
        <v>21</v>
      </c>
      <c r="B24" s="12" t="s">
        <v>76</v>
      </c>
      <c r="C24" s="12" t="s">
        <v>83</v>
      </c>
      <c r="D24" s="12" t="s">
        <v>23</v>
      </c>
      <c r="E24" s="12" t="s">
        <v>24</v>
      </c>
      <c r="F24" s="13">
        <v>43008</v>
      </c>
      <c r="G24" s="13">
        <v>44104</v>
      </c>
      <c r="H24" s="16">
        <v>0</v>
      </c>
      <c r="I24" s="16">
        <v>60</v>
      </c>
      <c r="J24" s="12">
        <v>0</v>
      </c>
      <c r="K24" s="12">
        <v>300</v>
      </c>
      <c r="L24" s="12" t="s">
        <v>84</v>
      </c>
      <c r="M24" s="12" t="s">
        <v>26</v>
      </c>
      <c r="N24" s="23">
        <v>120000</v>
      </c>
      <c r="O24" s="23">
        <f>1500*40</f>
        <v>60000</v>
      </c>
      <c r="P24" s="23">
        <v>102000</v>
      </c>
      <c r="Q24" s="23">
        <f t="shared" si="2"/>
        <v>108000</v>
      </c>
      <c r="R24" s="23">
        <f t="shared" si="1"/>
        <v>390000</v>
      </c>
      <c r="S24" s="12" t="s">
        <v>85</v>
      </c>
      <c r="T24" s="30"/>
    </row>
    <row r="25" s="1" customFormat="1" ht="80" customHeight="1" spans="1:20">
      <c r="A25" s="12">
        <v>22</v>
      </c>
      <c r="B25" s="12" t="s">
        <v>76</v>
      </c>
      <c r="C25" s="12" t="s">
        <v>86</v>
      </c>
      <c r="D25" s="12" t="s">
        <v>23</v>
      </c>
      <c r="E25" s="12" t="s">
        <v>24</v>
      </c>
      <c r="F25" s="13">
        <v>43008</v>
      </c>
      <c r="G25" s="13">
        <v>44104</v>
      </c>
      <c r="H25" s="16">
        <v>0</v>
      </c>
      <c r="I25" s="16">
        <v>60</v>
      </c>
      <c r="J25" s="12">
        <v>0</v>
      </c>
      <c r="K25" s="12">
        <v>300</v>
      </c>
      <c r="L25" s="12" t="s">
        <v>87</v>
      </c>
      <c r="M25" s="12" t="s">
        <v>26</v>
      </c>
      <c r="N25" s="23">
        <v>120000</v>
      </c>
      <c r="O25" s="23">
        <v>60000</v>
      </c>
      <c r="P25" s="23">
        <v>102000</v>
      </c>
      <c r="Q25" s="23">
        <f t="shared" si="2"/>
        <v>108000</v>
      </c>
      <c r="R25" s="23">
        <f t="shared" si="1"/>
        <v>390000</v>
      </c>
      <c r="S25" s="12" t="s">
        <v>85</v>
      </c>
      <c r="T25" s="30"/>
    </row>
    <row r="26" s="2" customFormat="1" ht="80" customHeight="1" spans="1:22">
      <c r="A26" s="12">
        <v>23</v>
      </c>
      <c r="B26" s="12" t="s">
        <v>88</v>
      </c>
      <c r="C26" s="12" t="s">
        <v>89</v>
      </c>
      <c r="D26" s="12" t="s">
        <v>23</v>
      </c>
      <c r="E26" s="12" t="s">
        <v>30</v>
      </c>
      <c r="F26" s="13">
        <v>43035</v>
      </c>
      <c r="G26" s="13">
        <v>44131</v>
      </c>
      <c r="H26" s="16">
        <v>0</v>
      </c>
      <c r="I26" s="16">
        <v>1000</v>
      </c>
      <c r="J26" s="12">
        <v>0</v>
      </c>
      <c r="K26" s="25">
        <v>5000</v>
      </c>
      <c r="L26" s="26" t="s">
        <v>90</v>
      </c>
      <c r="M26" s="25" t="s">
        <v>26</v>
      </c>
      <c r="N26" s="23">
        <v>500250</v>
      </c>
      <c r="O26" s="23">
        <v>1500750</v>
      </c>
      <c r="P26" s="23">
        <v>2500750</v>
      </c>
      <c r="Q26" s="23">
        <f>999*2000</f>
        <v>1998000</v>
      </c>
      <c r="R26" s="23">
        <f t="shared" si="1"/>
        <v>6499750</v>
      </c>
      <c r="S26" s="12" t="s">
        <v>91</v>
      </c>
      <c r="T26" s="18"/>
      <c r="U26" s="31"/>
      <c r="V26" s="31"/>
    </row>
    <row r="27" s="1" customFormat="1" ht="80" customHeight="1" spans="1:22">
      <c r="A27" s="12">
        <v>24</v>
      </c>
      <c r="B27" s="12" t="s">
        <v>88</v>
      </c>
      <c r="C27" s="12" t="s">
        <v>92</v>
      </c>
      <c r="D27" s="12" t="s">
        <v>23</v>
      </c>
      <c r="E27" s="12" t="s">
        <v>30</v>
      </c>
      <c r="F27" s="13">
        <v>43034</v>
      </c>
      <c r="G27" s="13">
        <v>44130</v>
      </c>
      <c r="H27" s="16">
        <v>0</v>
      </c>
      <c r="I27" s="16">
        <f>1000-H27</f>
        <v>1000</v>
      </c>
      <c r="J27" s="12">
        <v>0</v>
      </c>
      <c r="K27" s="12">
        <v>5000</v>
      </c>
      <c r="L27" s="23" t="s">
        <v>93</v>
      </c>
      <c r="M27" s="12" t="s">
        <v>26</v>
      </c>
      <c r="N27" s="23">
        <v>500000</v>
      </c>
      <c r="O27" s="23">
        <v>1500000</v>
      </c>
      <c r="P27" s="23">
        <v>2496000</v>
      </c>
      <c r="Q27" s="23">
        <f>979*2000</f>
        <v>1958000</v>
      </c>
      <c r="R27" s="23">
        <f t="shared" si="1"/>
        <v>6454000</v>
      </c>
      <c r="S27" s="12" t="s">
        <v>94</v>
      </c>
      <c r="T27" s="18"/>
      <c r="U27" s="31"/>
      <c r="V27" s="31"/>
    </row>
    <row r="28" s="1" customFormat="1" ht="80" customHeight="1" spans="1:22">
      <c r="A28" s="12">
        <v>25</v>
      </c>
      <c r="B28" s="12" t="s">
        <v>88</v>
      </c>
      <c r="C28" s="12" t="s">
        <v>95</v>
      </c>
      <c r="D28" s="12" t="s">
        <v>23</v>
      </c>
      <c r="E28" s="12" t="s">
        <v>30</v>
      </c>
      <c r="F28" s="13">
        <v>43035</v>
      </c>
      <c r="G28" s="13">
        <v>44131</v>
      </c>
      <c r="H28" s="16">
        <v>0</v>
      </c>
      <c r="I28" s="16">
        <f>940-H28</f>
        <v>940</v>
      </c>
      <c r="J28" s="12">
        <v>0</v>
      </c>
      <c r="K28" s="12">
        <v>4700</v>
      </c>
      <c r="L28" s="23" t="s">
        <v>96</v>
      </c>
      <c r="M28" s="12" t="s">
        <v>26</v>
      </c>
      <c r="N28" s="23">
        <v>469500</v>
      </c>
      <c r="O28" s="23">
        <v>1408500</v>
      </c>
      <c r="P28" s="23">
        <v>2348500</v>
      </c>
      <c r="Q28" s="23">
        <v>1868000</v>
      </c>
      <c r="R28" s="23">
        <f t="shared" si="1"/>
        <v>6094500</v>
      </c>
      <c r="S28" s="12" t="s">
        <v>97</v>
      </c>
      <c r="T28" s="18"/>
      <c r="U28" s="31"/>
      <c r="V28" s="31"/>
    </row>
    <row r="29" s="1" customFormat="1" ht="80" customHeight="1" spans="1:22">
      <c r="A29" s="12">
        <v>26</v>
      </c>
      <c r="B29" s="12" t="s">
        <v>76</v>
      </c>
      <c r="C29" s="12" t="s">
        <v>98</v>
      </c>
      <c r="D29" s="12" t="s">
        <v>39</v>
      </c>
      <c r="E29" s="12" t="s">
        <v>24</v>
      </c>
      <c r="F29" s="15">
        <v>43736</v>
      </c>
      <c r="G29" s="15">
        <v>44101</v>
      </c>
      <c r="H29" s="12">
        <v>0</v>
      </c>
      <c r="I29" s="12">
        <v>974</v>
      </c>
      <c r="J29" s="12">
        <v>0</v>
      </c>
      <c r="K29" s="12">
        <v>1000</v>
      </c>
      <c r="L29" s="12" t="s">
        <v>99</v>
      </c>
      <c r="M29" s="12" t="s">
        <v>100</v>
      </c>
      <c r="N29" s="23">
        <v>0</v>
      </c>
      <c r="O29" s="23">
        <v>0</v>
      </c>
      <c r="P29" s="23">
        <v>0</v>
      </c>
      <c r="Q29" s="23">
        <f>4*480+180*480+89*480+28*480+294*480+120*480+200*480</f>
        <v>439200</v>
      </c>
      <c r="R29" s="23">
        <f t="shared" si="1"/>
        <v>439200</v>
      </c>
      <c r="S29" s="12" t="s">
        <v>101</v>
      </c>
      <c r="T29" s="30"/>
      <c r="U29" s="31"/>
      <c r="V29" s="31"/>
    </row>
    <row r="30" s="1" customFormat="1" ht="80" customHeight="1" spans="1:22">
      <c r="A30" s="12">
        <v>27</v>
      </c>
      <c r="B30" s="12" t="s">
        <v>76</v>
      </c>
      <c r="C30" s="12" t="s">
        <v>80</v>
      </c>
      <c r="D30" s="12" t="s">
        <v>39</v>
      </c>
      <c r="E30" s="12" t="s">
        <v>24</v>
      </c>
      <c r="F30" s="15">
        <v>43736</v>
      </c>
      <c r="G30" s="15">
        <v>44101</v>
      </c>
      <c r="H30" s="12">
        <v>0</v>
      </c>
      <c r="I30" s="12">
        <v>451</v>
      </c>
      <c r="J30" s="12">
        <v>0</v>
      </c>
      <c r="K30" s="12">
        <v>500</v>
      </c>
      <c r="L30" s="12" t="s">
        <v>102</v>
      </c>
      <c r="M30" s="12" t="s">
        <v>100</v>
      </c>
      <c r="N30" s="23">
        <v>0</v>
      </c>
      <c r="O30" s="23">
        <v>0</v>
      </c>
      <c r="P30" s="23">
        <v>0</v>
      </c>
      <c r="Q30" s="23">
        <f>451*120+229*360+221*360</f>
        <v>216120</v>
      </c>
      <c r="R30" s="23">
        <f t="shared" si="1"/>
        <v>216120</v>
      </c>
      <c r="S30" s="12" t="s">
        <v>103</v>
      </c>
      <c r="T30" s="30"/>
      <c r="U30" s="30"/>
      <c r="V30" s="30"/>
    </row>
    <row r="31" s="1" customFormat="1" ht="80" customHeight="1" spans="1:22">
      <c r="A31" s="12">
        <v>28</v>
      </c>
      <c r="B31" s="12" t="s">
        <v>76</v>
      </c>
      <c r="C31" s="12" t="s">
        <v>104</v>
      </c>
      <c r="D31" s="12" t="s">
        <v>39</v>
      </c>
      <c r="E31" s="12" t="s">
        <v>24</v>
      </c>
      <c r="F31" s="13">
        <v>43737</v>
      </c>
      <c r="G31" s="13">
        <v>44102</v>
      </c>
      <c r="H31" s="12">
        <v>0</v>
      </c>
      <c r="I31" s="12">
        <v>80</v>
      </c>
      <c r="J31" s="12">
        <v>0</v>
      </c>
      <c r="K31" s="12">
        <v>400</v>
      </c>
      <c r="L31" s="12" t="s">
        <v>105</v>
      </c>
      <c r="M31" s="12" t="s">
        <v>26</v>
      </c>
      <c r="N31" s="23">
        <v>0</v>
      </c>
      <c r="O31" s="23">
        <v>0</v>
      </c>
      <c r="P31" s="23">
        <v>48000</v>
      </c>
      <c r="Q31" s="23">
        <f>80*600+80*1200</f>
        <v>144000</v>
      </c>
      <c r="R31" s="23">
        <f t="shared" si="1"/>
        <v>192000</v>
      </c>
      <c r="S31" s="12" t="s">
        <v>106</v>
      </c>
      <c r="T31" s="30"/>
      <c r="U31" s="31"/>
      <c r="V31" s="31"/>
    </row>
    <row r="32" s="1" customFormat="1" ht="80" customHeight="1" spans="1:22">
      <c r="A32" s="12">
        <v>29</v>
      </c>
      <c r="B32" s="12" t="s">
        <v>76</v>
      </c>
      <c r="C32" s="12" t="s">
        <v>107</v>
      </c>
      <c r="D32" s="12" t="s">
        <v>39</v>
      </c>
      <c r="E32" s="12" t="s">
        <v>24</v>
      </c>
      <c r="F32" s="15">
        <v>43737</v>
      </c>
      <c r="G32" s="15">
        <v>44102</v>
      </c>
      <c r="H32" s="12">
        <v>0</v>
      </c>
      <c r="I32" s="12">
        <v>80</v>
      </c>
      <c r="J32" s="12">
        <v>0</v>
      </c>
      <c r="K32" s="12">
        <v>100</v>
      </c>
      <c r="L32" s="12" t="s">
        <v>108</v>
      </c>
      <c r="M32" s="12" t="s">
        <v>44</v>
      </c>
      <c r="N32" s="23">
        <v>0</v>
      </c>
      <c r="O32" s="23">
        <v>0</v>
      </c>
      <c r="P32" s="23">
        <v>0</v>
      </c>
      <c r="Q32" s="23">
        <f>75*120+5*600+5*1800+75*360</f>
        <v>48000</v>
      </c>
      <c r="R32" s="23">
        <f t="shared" si="1"/>
        <v>48000</v>
      </c>
      <c r="S32" s="12" t="s">
        <v>109</v>
      </c>
      <c r="T32" s="30"/>
      <c r="U32" s="31"/>
      <c r="V32" s="31"/>
    </row>
    <row r="33" s="3" customFormat="1" ht="80" customHeight="1" spans="1:22">
      <c r="A33" s="12">
        <v>30</v>
      </c>
      <c r="B33" s="12" t="s">
        <v>76</v>
      </c>
      <c r="C33" s="12" t="s">
        <v>110</v>
      </c>
      <c r="D33" s="12" t="s">
        <v>111</v>
      </c>
      <c r="E33" s="12" t="s">
        <v>30</v>
      </c>
      <c r="F33" s="15">
        <v>43735</v>
      </c>
      <c r="G33" s="15">
        <v>44100</v>
      </c>
      <c r="H33" s="12">
        <v>0</v>
      </c>
      <c r="I33" s="12">
        <v>239</v>
      </c>
      <c r="J33" s="12">
        <v>0</v>
      </c>
      <c r="K33" s="12">
        <v>500</v>
      </c>
      <c r="L33" s="12" t="s">
        <v>112</v>
      </c>
      <c r="M33" s="12" t="s">
        <v>44</v>
      </c>
      <c r="N33" s="23">
        <v>0</v>
      </c>
      <c r="O33" s="23">
        <v>0</v>
      </c>
      <c r="P33" s="23">
        <v>0</v>
      </c>
      <c r="Q33" s="23">
        <f>120*175+64*600+169*360+64*1800</f>
        <v>235440</v>
      </c>
      <c r="R33" s="23">
        <f t="shared" si="1"/>
        <v>235440</v>
      </c>
      <c r="S33" s="12" t="s">
        <v>113</v>
      </c>
      <c r="T33" s="33"/>
      <c r="U33" s="31"/>
      <c r="V33" s="31"/>
    </row>
    <row r="34" s="1" customFormat="1" ht="80" customHeight="1" spans="1:22">
      <c r="A34" s="12">
        <v>31</v>
      </c>
      <c r="B34" s="12" t="s">
        <v>114</v>
      </c>
      <c r="C34" s="12" t="s">
        <v>115</v>
      </c>
      <c r="D34" s="12" t="s">
        <v>23</v>
      </c>
      <c r="E34" s="12" t="s">
        <v>24</v>
      </c>
      <c r="F34" s="13">
        <v>43008</v>
      </c>
      <c r="G34" s="13">
        <v>44104</v>
      </c>
      <c r="H34" s="16">
        <v>0</v>
      </c>
      <c r="I34" s="16">
        <v>200</v>
      </c>
      <c r="J34" s="12">
        <v>0</v>
      </c>
      <c r="K34" s="12">
        <v>1000</v>
      </c>
      <c r="L34" s="12" t="s">
        <v>116</v>
      </c>
      <c r="M34" s="12" t="s">
        <v>26</v>
      </c>
      <c r="N34" s="23">
        <v>399000</v>
      </c>
      <c r="O34" s="23">
        <f>133*750</f>
        <v>99750</v>
      </c>
      <c r="P34" s="23">
        <v>239700</v>
      </c>
      <c r="Q34" s="23">
        <f>133*1200+67*600+358200</f>
        <v>558000</v>
      </c>
      <c r="R34" s="23">
        <f t="shared" si="1"/>
        <v>1296450</v>
      </c>
      <c r="S34" s="12" t="s">
        <v>117</v>
      </c>
      <c r="T34" s="18"/>
      <c r="U34" s="31"/>
      <c r="V34" s="31"/>
    </row>
    <row r="35" s="1" customFormat="1" ht="80" customHeight="1" spans="1:22">
      <c r="A35" s="12">
        <v>32</v>
      </c>
      <c r="B35" s="12" t="s">
        <v>114</v>
      </c>
      <c r="C35" s="12" t="s">
        <v>118</v>
      </c>
      <c r="D35" s="12" t="s">
        <v>23</v>
      </c>
      <c r="E35" s="12" t="s">
        <v>24</v>
      </c>
      <c r="F35" s="13">
        <v>43008</v>
      </c>
      <c r="G35" s="13">
        <v>44104</v>
      </c>
      <c r="H35" s="16">
        <v>0</v>
      </c>
      <c r="I35" s="16">
        <v>200</v>
      </c>
      <c r="J35" s="12">
        <v>0</v>
      </c>
      <c r="K35" s="12">
        <v>1000</v>
      </c>
      <c r="L35" s="12" t="s">
        <v>119</v>
      </c>
      <c r="M35" s="12" t="s">
        <v>26</v>
      </c>
      <c r="N35" s="23">
        <v>399000</v>
      </c>
      <c r="O35" s="23">
        <f>133*750</f>
        <v>99750</v>
      </c>
      <c r="P35" s="23">
        <v>279300</v>
      </c>
      <c r="Q35" s="23">
        <f>67*1200+600*133+1800*133+120600</f>
        <v>520200</v>
      </c>
      <c r="R35" s="23">
        <f t="shared" si="1"/>
        <v>1298250</v>
      </c>
      <c r="S35" s="12" t="s">
        <v>120</v>
      </c>
      <c r="T35" s="18"/>
      <c r="U35" s="31"/>
      <c r="V35" s="31"/>
    </row>
    <row r="36" s="1" customFormat="1" ht="80" customHeight="1" spans="1:22">
      <c r="A36" s="12">
        <v>33</v>
      </c>
      <c r="B36" s="12" t="s">
        <v>114</v>
      </c>
      <c r="C36" s="12" t="s">
        <v>98</v>
      </c>
      <c r="D36" s="12" t="s">
        <v>23</v>
      </c>
      <c r="E36" s="12" t="s">
        <v>30</v>
      </c>
      <c r="F36" s="15">
        <v>43314</v>
      </c>
      <c r="G36" s="15">
        <v>44410</v>
      </c>
      <c r="H36" s="12">
        <v>0</v>
      </c>
      <c r="I36" s="12">
        <v>398</v>
      </c>
      <c r="J36" s="12">
        <v>0</v>
      </c>
      <c r="K36" s="12">
        <v>1990</v>
      </c>
      <c r="L36" s="12" t="s">
        <v>121</v>
      </c>
      <c r="M36" s="12" t="s">
        <v>26</v>
      </c>
      <c r="N36" s="23">
        <v>0</v>
      </c>
      <c r="O36" s="23">
        <f>266*1500</f>
        <v>399000</v>
      </c>
      <c r="P36" s="23">
        <v>637800</v>
      </c>
      <c r="Q36" s="23">
        <f>49*400+120*400+88*400+141*400+141*2400+49*2400+499200</f>
        <v>1114400</v>
      </c>
      <c r="R36" s="23">
        <f t="shared" si="1"/>
        <v>2151200</v>
      </c>
      <c r="S36" s="12" t="s">
        <v>122</v>
      </c>
      <c r="T36" s="30"/>
      <c r="U36" s="31"/>
      <c r="V36" s="31"/>
    </row>
    <row r="37" s="1" customFormat="1" ht="80" customHeight="1" spans="1:22">
      <c r="A37" s="12">
        <v>34</v>
      </c>
      <c r="B37" s="12" t="s">
        <v>123</v>
      </c>
      <c r="C37" s="12" t="s">
        <v>124</v>
      </c>
      <c r="D37" s="12" t="s">
        <v>125</v>
      </c>
      <c r="E37" s="12" t="s">
        <v>30</v>
      </c>
      <c r="F37" s="17">
        <v>43700</v>
      </c>
      <c r="G37" s="17">
        <v>44066</v>
      </c>
      <c r="H37" s="12">
        <v>0</v>
      </c>
      <c r="I37" s="12">
        <v>140</v>
      </c>
      <c r="J37" s="12">
        <v>0</v>
      </c>
      <c r="K37" s="12">
        <v>700</v>
      </c>
      <c r="L37" s="12" t="s">
        <v>126</v>
      </c>
      <c r="M37" s="12" t="s">
        <v>26</v>
      </c>
      <c r="N37" s="23">
        <v>0</v>
      </c>
      <c r="O37" s="23">
        <v>0</v>
      </c>
      <c r="P37" s="23">
        <v>28000</v>
      </c>
      <c r="Q37" s="23">
        <f>140*600+140*8*200</f>
        <v>308000</v>
      </c>
      <c r="R37" s="23">
        <f t="shared" si="1"/>
        <v>336000</v>
      </c>
      <c r="S37" s="12" t="s">
        <v>127</v>
      </c>
      <c r="T37" s="18"/>
      <c r="U37" s="31"/>
      <c r="V37" s="31"/>
    </row>
    <row r="38" s="1" customFormat="1" ht="80" customHeight="1" spans="1:23">
      <c r="A38" s="12">
        <v>35</v>
      </c>
      <c r="B38" s="12" t="s">
        <v>114</v>
      </c>
      <c r="C38" s="12" t="s">
        <v>128</v>
      </c>
      <c r="D38" s="12" t="s">
        <v>23</v>
      </c>
      <c r="E38" s="12" t="s">
        <v>30</v>
      </c>
      <c r="F38" s="15">
        <v>43318</v>
      </c>
      <c r="G38" s="15">
        <v>44414</v>
      </c>
      <c r="H38" s="12">
        <v>0</v>
      </c>
      <c r="I38" s="12">
        <v>194</v>
      </c>
      <c r="J38" s="12">
        <v>0</v>
      </c>
      <c r="K38" s="12">
        <v>970</v>
      </c>
      <c r="L38" s="12" t="s">
        <v>129</v>
      </c>
      <c r="M38" s="12" t="s">
        <v>26</v>
      </c>
      <c r="N38" s="23">
        <v>0</v>
      </c>
      <c r="O38" s="23">
        <f>129*750+96750</f>
        <v>193500</v>
      </c>
      <c r="P38" s="23">
        <v>277650</v>
      </c>
      <c r="Q38" s="23">
        <f>194*600+194*1400</f>
        <v>388000</v>
      </c>
      <c r="R38" s="23">
        <f t="shared" si="1"/>
        <v>859150</v>
      </c>
      <c r="S38" s="12" t="s">
        <v>130</v>
      </c>
      <c r="T38" s="30"/>
      <c r="U38" s="31"/>
      <c r="V38" s="31"/>
      <c r="W38" s="30"/>
    </row>
    <row r="39" s="1" customFormat="1" ht="80" customHeight="1" spans="1:23">
      <c r="A39" s="12">
        <v>36</v>
      </c>
      <c r="B39" s="12" t="s">
        <v>131</v>
      </c>
      <c r="C39" s="12" t="s">
        <v>132</v>
      </c>
      <c r="D39" s="12" t="s">
        <v>39</v>
      </c>
      <c r="E39" s="12" t="s">
        <v>24</v>
      </c>
      <c r="F39" s="15">
        <v>43682</v>
      </c>
      <c r="G39" s="15">
        <v>44047</v>
      </c>
      <c r="H39" s="12">
        <v>0</v>
      </c>
      <c r="I39" s="12">
        <v>140</v>
      </c>
      <c r="J39" s="12">
        <v>0</v>
      </c>
      <c r="K39" s="12">
        <v>700</v>
      </c>
      <c r="L39" s="12" t="s">
        <v>133</v>
      </c>
      <c r="M39" s="12" t="s">
        <v>26</v>
      </c>
      <c r="N39" s="23">
        <v>0</v>
      </c>
      <c r="O39" s="23">
        <v>0</v>
      </c>
      <c r="P39" s="23">
        <v>140000</v>
      </c>
      <c r="Q39" s="23">
        <f>140*1400</f>
        <v>196000</v>
      </c>
      <c r="R39" s="23">
        <f t="shared" si="1"/>
        <v>336000</v>
      </c>
      <c r="S39" s="12" t="s">
        <v>134</v>
      </c>
      <c r="T39" s="30"/>
      <c r="U39" s="30"/>
      <c r="V39" s="30"/>
      <c r="W39" s="30"/>
    </row>
    <row r="40" s="1" customFormat="1" ht="80" customHeight="1" spans="1:23">
      <c r="A40" s="12">
        <v>37</v>
      </c>
      <c r="B40" s="12" t="s">
        <v>131</v>
      </c>
      <c r="C40" s="12" t="s">
        <v>135</v>
      </c>
      <c r="D40" s="12" t="s">
        <v>125</v>
      </c>
      <c r="E40" s="12" t="s">
        <v>24</v>
      </c>
      <c r="F40" s="15">
        <v>43770</v>
      </c>
      <c r="G40" s="15">
        <v>44042</v>
      </c>
      <c r="H40" s="12">
        <v>0</v>
      </c>
      <c r="I40" s="12">
        <f>900-H40</f>
        <v>900</v>
      </c>
      <c r="J40" s="12">
        <v>0</v>
      </c>
      <c r="K40" s="12">
        <v>900</v>
      </c>
      <c r="L40" s="12" t="s">
        <v>136</v>
      </c>
      <c r="M40" s="12" t="s">
        <v>100</v>
      </c>
      <c r="N40" s="23">
        <v>0</v>
      </c>
      <c r="O40" s="23">
        <v>0</v>
      </c>
      <c r="P40" s="23">
        <v>0</v>
      </c>
      <c r="Q40" s="23">
        <f>854*360</f>
        <v>307440</v>
      </c>
      <c r="R40" s="23">
        <f t="shared" si="1"/>
        <v>307440</v>
      </c>
      <c r="S40" s="12" t="s">
        <v>137</v>
      </c>
      <c r="T40" s="18"/>
      <c r="U40" s="31"/>
      <c r="V40" s="31"/>
      <c r="W40" s="30"/>
    </row>
    <row r="41" s="1" customFormat="1" ht="80" customHeight="1" spans="1:23">
      <c r="A41" s="12">
        <v>38</v>
      </c>
      <c r="B41" s="12" t="s">
        <v>131</v>
      </c>
      <c r="C41" s="12" t="s">
        <v>138</v>
      </c>
      <c r="D41" s="12" t="s">
        <v>139</v>
      </c>
      <c r="E41" s="12" t="s">
        <v>24</v>
      </c>
      <c r="F41" s="15">
        <v>43676</v>
      </c>
      <c r="G41" s="15">
        <v>44041</v>
      </c>
      <c r="H41" s="12">
        <v>0</v>
      </c>
      <c r="I41" s="12">
        <v>60</v>
      </c>
      <c r="J41" s="12">
        <v>0</v>
      </c>
      <c r="K41" s="12">
        <v>300</v>
      </c>
      <c r="L41" s="12" t="s">
        <v>140</v>
      </c>
      <c r="M41" s="12" t="s">
        <v>26</v>
      </c>
      <c r="N41" s="23">
        <v>0</v>
      </c>
      <c r="O41" s="23">
        <v>0</v>
      </c>
      <c r="P41" s="23">
        <v>48000</v>
      </c>
      <c r="Q41" s="23">
        <f>200*60+60*1400</f>
        <v>96000</v>
      </c>
      <c r="R41" s="23">
        <f t="shared" si="1"/>
        <v>144000</v>
      </c>
      <c r="S41" s="12" t="s">
        <v>141</v>
      </c>
      <c r="T41" s="18"/>
      <c r="U41" s="31"/>
      <c r="V41" s="31"/>
      <c r="W41" s="30"/>
    </row>
    <row r="42" s="1" customFormat="1" ht="80" customHeight="1" spans="1:23">
      <c r="A42" s="12">
        <v>39</v>
      </c>
      <c r="B42" s="12" t="s">
        <v>131</v>
      </c>
      <c r="C42" s="12" t="s">
        <v>142</v>
      </c>
      <c r="D42" s="12" t="s">
        <v>39</v>
      </c>
      <c r="E42" s="12" t="s">
        <v>24</v>
      </c>
      <c r="F42" s="13">
        <v>43641</v>
      </c>
      <c r="G42" s="13">
        <v>44006</v>
      </c>
      <c r="H42" s="18">
        <v>0</v>
      </c>
      <c r="I42" s="12">
        <f>60-H42</f>
        <v>60</v>
      </c>
      <c r="J42" s="18">
        <v>0</v>
      </c>
      <c r="K42" s="12">
        <v>300</v>
      </c>
      <c r="L42" s="12" t="s">
        <v>143</v>
      </c>
      <c r="M42" s="12" t="s">
        <v>26</v>
      </c>
      <c r="N42" s="23">
        <v>0</v>
      </c>
      <c r="O42" s="23">
        <v>0</v>
      </c>
      <c r="P42" s="23">
        <v>72000</v>
      </c>
      <c r="Q42" s="23">
        <v>72000</v>
      </c>
      <c r="R42" s="23">
        <f t="shared" si="1"/>
        <v>144000</v>
      </c>
      <c r="S42" s="32" t="s">
        <v>144</v>
      </c>
      <c r="T42" s="30"/>
      <c r="U42" s="30"/>
      <c r="V42" s="30"/>
      <c r="W42" s="30"/>
    </row>
    <row r="43" s="1" customFormat="1" ht="80" customHeight="1" spans="1:23">
      <c r="A43" s="12">
        <v>40</v>
      </c>
      <c r="B43" s="12" t="s">
        <v>131</v>
      </c>
      <c r="C43" s="12" t="s">
        <v>145</v>
      </c>
      <c r="D43" s="12" t="s">
        <v>23</v>
      </c>
      <c r="E43" s="12" t="s">
        <v>30</v>
      </c>
      <c r="F43" s="13">
        <v>43034</v>
      </c>
      <c r="G43" s="13">
        <v>44008</v>
      </c>
      <c r="H43" s="16">
        <v>0</v>
      </c>
      <c r="I43" s="16">
        <f>1000-H43</f>
        <v>1000</v>
      </c>
      <c r="J43" s="12">
        <v>0</v>
      </c>
      <c r="K43" s="12">
        <v>5000</v>
      </c>
      <c r="L43" s="12" t="s">
        <v>146</v>
      </c>
      <c r="M43" s="12" t="s">
        <v>26</v>
      </c>
      <c r="N43" s="23">
        <v>500250</v>
      </c>
      <c r="O43" s="23">
        <v>1500750</v>
      </c>
      <c r="P43" s="23">
        <v>2498750</v>
      </c>
      <c r="Q43" s="23">
        <f>(216+304+37+189+169+63)*1200</f>
        <v>1173600</v>
      </c>
      <c r="R43" s="23">
        <f t="shared" si="1"/>
        <v>5673350</v>
      </c>
      <c r="S43" s="23" t="s">
        <v>147</v>
      </c>
      <c r="T43" s="18"/>
      <c r="U43" s="31"/>
      <c r="V43" s="31"/>
      <c r="W43" s="30"/>
    </row>
    <row r="44" s="1" customFormat="1" ht="80" customHeight="1" spans="1:22">
      <c r="A44" s="12">
        <v>41</v>
      </c>
      <c r="B44" s="12" t="s">
        <v>131</v>
      </c>
      <c r="C44" s="12" t="s">
        <v>148</v>
      </c>
      <c r="D44" s="12" t="s">
        <v>39</v>
      </c>
      <c r="E44" s="12" t="s">
        <v>24</v>
      </c>
      <c r="F44" s="13">
        <v>43615</v>
      </c>
      <c r="G44" s="13">
        <v>43980</v>
      </c>
      <c r="H44" s="12">
        <v>0</v>
      </c>
      <c r="I44" s="12">
        <v>40</v>
      </c>
      <c r="J44" s="12">
        <v>0</v>
      </c>
      <c r="K44" s="12">
        <v>200</v>
      </c>
      <c r="L44" s="12" t="s">
        <v>149</v>
      </c>
      <c r="M44" s="12" t="s">
        <v>26</v>
      </c>
      <c r="N44" s="23">
        <v>0</v>
      </c>
      <c r="O44" s="23">
        <v>0</v>
      </c>
      <c r="P44" s="23">
        <v>48000</v>
      </c>
      <c r="Q44" s="23">
        <f>27*250+40*1000</f>
        <v>46750</v>
      </c>
      <c r="R44" s="23">
        <f t="shared" ref="R44:R67" si="3">N44+O44+P44+Q44</f>
        <v>94750</v>
      </c>
      <c r="S44" s="12" t="s">
        <v>150</v>
      </c>
      <c r="T44" s="18"/>
      <c r="U44" s="31"/>
      <c r="V44" s="31"/>
    </row>
    <row r="45" s="1" customFormat="1" ht="80" customHeight="1" spans="1:22">
      <c r="A45" s="12">
        <v>42</v>
      </c>
      <c r="B45" s="12" t="s">
        <v>151</v>
      </c>
      <c r="C45" s="12" t="s">
        <v>152</v>
      </c>
      <c r="D45" s="12" t="s">
        <v>23</v>
      </c>
      <c r="E45" s="12" t="s">
        <v>30</v>
      </c>
      <c r="F45" s="14">
        <v>43448</v>
      </c>
      <c r="G45" s="14">
        <v>44179</v>
      </c>
      <c r="H45" s="16">
        <v>0</v>
      </c>
      <c r="I45" s="16">
        <v>324</v>
      </c>
      <c r="J45" s="12">
        <v>0</v>
      </c>
      <c r="K45" s="27">
        <v>1620</v>
      </c>
      <c r="L45" s="12" t="s">
        <v>153</v>
      </c>
      <c r="M45" s="12" t="s">
        <v>26</v>
      </c>
      <c r="N45" s="23">
        <v>0</v>
      </c>
      <c r="O45" s="23">
        <f>216*750</f>
        <v>162000</v>
      </c>
      <c r="P45" s="23">
        <v>356400</v>
      </c>
      <c r="Q45" s="23">
        <f>192000+192000</f>
        <v>384000</v>
      </c>
      <c r="R45" s="23">
        <f t="shared" si="3"/>
        <v>902400</v>
      </c>
      <c r="S45" s="12" t="s">
        <v>154</v>
      </c>
      <c r="T45" s="30"/>
      <c r="U45" s="31"/>
      <c r="V45" s="31"/>
    </row>
    <row r="46" s="1" customFormat="1" ht="80" customHeight="1" spans="1:22">
      <c r="A46" s="12">
        <v>43</v>
      </c>
      <c r="B46" s="12" t="s">
        <v>151</v>
      </c>
      <c r="C46" s="12" t="s">
        <v>152</v>
      </c>
      <c r="D46" s="12" t="s">
        <v>23</v>
      </c>
      <c r="E46" s="12" t="s">
        <v>30</v>
      </c>
      <c r="F46" s="13">
        <v>43092</v>
      </c>
      <c r="G46" s="13">
        <v>44188</v>
      </c>
      <c r="H46" s="12">
        <v>0</v>
      </c>
      <c r="I46" s="12">
        <v>72</v>
      </c>
      <c r="J46" s="12">
        <v>0</v>
      </c>
      <c r="K46" s="27">
        <v>360</v>
      </c>
      <c r="L46" s="12" t="s">
        <v>155</v>
      </c>
      <c r="M46" s="12" t="s">
        <v>26</v>
      </c>
      <c r="N46" s="23">
        <v>0</v>
      </c>
      <c r="O46" s="23">
        <f>48*3000</f>
        <v>144000</v>
      </c>
      <c r="P46" s="23">
        <v>122400</v>
      </c>
      <c r="Q46" s="23">
        <f>72000+14400</f>
        <v>86400</v>
      </c>
      <c r="R46" s="23">
        <f t="shared" si="3"/>
        <v>352800</v>
      </c>
      <c r="S46" s="12" t="s">
        <v>156</v>
      </c>
      <c r="T46" s="30"/>
      <c r="U46" s="34"/>
      <c r="V46" s="31"/>
    </row>
    <row r="47" s="1" customFormat="1" ht="80" customHeight="1" spans="1:22">
      <c r="A47" s="12">
        <v>44</v>
      </c>
      <c r="B47" s="12" t="s">
        <v>33</v>
      </c>
      <c r="C47" s="12" t="s">
        <v>128</v>
      </c>
      <c r="D47" s="12" t="s">
        <v>39</v>
      </c>
      <c r="E47" s="12" t="s">
        <v>24</v>
      </c>
      <c r="F47" s="13">
        <v>43585</v>
      </c>
      <c r="G47" s="13">
        <v>43950</v>
      </c>
      <c r="H47" s="12">
        <v>0</v>
      </c>
      <c r="I47" s="12">
        <v>60</v>
      </c>
      <c r="J47" s="12">
        <v>0</v>
      </c>
      <c r="K47" s="12">
        <v>300</v>
      </c>
      <c r="L47" s="12" t="s">
        <v>157</v>
      </c>
      <c r="M47" s="12" t="s">
        <v>26</v>
      </c>
      <c r="N47" s="23">
        <v>0</v>
      </c>
      <c r="O47" s="23">
        <v>0</v>
      </c>
      <c r="P47" s="23">
        <v>56500</v>
      </c>
      <c r="Q47" s="23">
        <f>60*600+60*800</f>
        <v>84000</v>
      </c>
      <c r="R47" s="23">
        <f t="shared" si="3"/>
        <v>140500</v>
      </c>
      <c r="S47" s="12" t="s">
        <v>158</v>
      </c>
      <c r="T47" s="30"/>
      <c r="U47" s="31"/>
      <c r="V47" s="31"/>
    </row>
    <row r="48" s="1" customFormat="1" ht="80" customHeight="1" spans="1:20">
      <c r="A48" s="12">
        <v>45</v>
      </c>
      <c r="B48" s="12" t="s">
        <v>33</v>
      </c>
      <c r="C48" s="12" t="s">
        <v>159</v>
      </c>
      <c r="D48" s="12" t="s">
        <v>160</v>
      </c>
      <c r="E48" s="12" t="s">
        <v>30</v>
      </c>
      <c r="F48" s="14">
        <v>43433</v>
      </c>
      <c r="G48" s="14">
        <v>43798</v>
      </c>
      <c r="H48" s="16">
        <v>0</v>
      </c>
      <c r="I48" s="16">
        <v>86</v>
      </c>
      <c r="J48" s="12">
        <v>0</v>
      </c>
      <c r="K48" s="12">
        <v>430</v>
      </c>
      <c r="L48" s="12" t="s">
        <v>161</v>
      </c>
      <c r="M48" s="12" t="s">
        <v>26</v>
      </c>
      <c r="N48" s="23">
        <v>0</v>
      </c>
      <c r="O48" s="23">
        <v>0</v>
      </c>
      <c r="P48" s="23">
        <v>153100</v>
      </c>
      <c r="Q48" s="23">
        <f>86*400</f>
        <v>34400</v>
      </c>
      <c r="R48" s="23">
        <f t="shared" si="3"/>
        <v>187500</v>
      </c>
      <c r="S48" s="12" t="s">
        <v>162</v>
      </c>
      <c r="T48" s="30"/>
    </row>
    <row r="49" s="1" customFormat="1" ht="80" customHeight="1" spans="1:20">
      <c r="A49" s="12">
        <v>46</v>
      </c>
      <c r="B49" s="12" t="s">
        <v>33</v>
      </c>
      <c r="C49" s="12" t="s">
        <v>38</v>
      </c>
      <c r="D49" s="12" t="s">
        <v>39</v>
      </c>
      <c r="E49" s="12" t="s">
        <v>24</v>
      </c>
      <c r="F49" s="14">
        <v>43433</v>
      </c>
      <c r="G49" s="14">
        <v>43797</v>
      </c>
      <c r="H49" s="12">
        <v>0</v>
      </c>
      <c r="I49" s="12">
        <v>40</v>
      </c>
      <c r="J49" s="12">
        <v>0</v>
      </c>
      <c r="K49" s="12">
        <v>200</v>
      </c>
      <c r="L49" s="12" t="s">
        <v>40</v>
      </c>
      <c r="M49" s="12" t="s">
        <v>26</v>
      </c>
      <c r="N49" s="23">
        <v>0</v>
      </c>
      <c r="O49" s="23">
        <f>27*1500</f>
        <v>40500</v>
      </c>
      <c r="P49" s="23">
        <v>30750</v>
      </c>
      <c r="Q49" s="23">
        <f>40*400</f>
        <v>16000</v>
      </c>
      <c r="R49" s="23">
        <f t="shared" si="3"/>
        <v>87250</v>
      </c>
      <c r="S49" s="32" t="s">
        <v>163</v>
      </c>
      <c r="T49" s="30"/>
    </row>
    <row r="50" s="1" customFormat="1" ht="80" customHeight="1" spans="1:20">
      <c r="A50" s="12">
        <v>47</v>
      </c>
      <c r="B50" s="12" t="s">
        <v>33</v>
      </c>
      <c r="C50" s="12" t="s">
        <v>164</v>
      </c>
      <c r="D50" s="12" t="s">
        <v>160</v>
      </c>
      <c r="E50" s="12" t="s">
        <v>30</v>
      </c>
      <c r="F50" s="13">
        <v>43259</v>
      </c>
      <c r="G50" s="13">
        <v>43626</v>
      </c>
      <c r="H50" s="12">
        <v>0</v>
      </c>
      <c r="I50" s="12">
        <v>334</v>
      </c>
      <c r="J50" s="12">
        <v>0</v>
      </c>
      <c r="K50" s="12">
        <v>2500</v>
      </c>
      <c r="L50" s="12" t="s">
        <v>165</v>
      </c>
      <c r="M50" s="12" t="s">
        <v>166</v>
      </c>
      <c r="N50" s="23">
        <v>0</v>
      </c>
      <c r="O50" s="23">
        <v>501000</v>
      </c>
      <c r="P50" s="23">
        <v>501000</v>
      </c>
      <c r="Q50" s="23">
        <v>0</v>
      </c>
      <c r="R50" s="23">
        <f t="shared" si="3"/>
        <v>1002000</v>
      </c>
      <c r="S50" s="12" t="s">
        <v>167</v>
      </c>
      <c r="T50" s="30"/>
    </row>
    <row r="51" s="1" customFormat="1" ht="80" customHeight="1" spans="1:20">
      <c r="A51" s="12">
        <v>48</v>
      </c>
      <c r="B51" s="12" t="s">
        <v>33</v>
      </c>
      <c r="C51" s="12" t="s">
        <v>29</v>
      </c>
      <c r="D51" s="12" t="s">
        <v>23</v>
      </c>
      <c r="E51" s="12" t="s">
        <v>30</v>
      </c>
      <c r="F51" s="13">
        <v>43279</v>
      </c>
      <c r="G51" s="13">
        <v>43644</v>
      </c>
      <c r="H51" s="12">
        <v>0</v>
      </c>
      <c r="I51" s="12">
        <v>266</v>
      </c>
      <c r="J51" s="12">
        <v>0</v>
      </c>
      <c r="K51" s="12">
        <v>1995</v>
      </c>
      <c r="L51" s="12" t="s">
        <v>168</v>
      </c>
      <c r="M51" s="12" t="s">
        <v>166</v>
      </c>
      <c r="N51" s="23">
        <v>0</v>
      </c>
      <c r="O51" s="23">
        <f>266*1500</f>
        <v>399000</v>
      </c>
      <c r="P51" s="23">
        <v>399000</v>
      </c>
      <c r="Q51" s="23">
        <v>0</v>
      </c>
      <c r="R51" s="23">
        <f t="shared" si="3"/>
        <v>798000</v>
      </c>
      <c r="S51" s="12" t="s">
        <v>169</v>
      </c>
      <c r="T51" s="30"/>
    </row>
    <row r="52" s="1" customFormat="1" ht="80" customHeight="1" spans="1:20">
      <c r="A52" s="12">
        <v>49</v>
      </c>
      <c r="B52" s="12" t="s">
        <v>33</v>
      </c>
      <c r="C52" s="12" t="s">
        <v>124</v>
      </c>
      <c r="D52" s="12" t="s">
        <v>125</v>
      </c>
      <c r="E52" s="12" t="s">
        <v>30</v>
      </c>
      <c r="F52" s="15">
        <v>43336</v>
      </c>
      <c r="G52" s="15">
        <v>43701</v>
      </c>
      <c r="H52" s="12">
        <v>0</v>
      </c>
      <c r="I52" s="12">
        <v>140</v>
      </c>
      <c r="J52" s="12">
        <v>0</v>
      </c>
      <c r="K52" s="12">
        <v>700</v>
      </c>
      <c r="L52" s="12" t="s">
        <v>126</v>
      </c>
      <c r="M52" s="12" t="s">
        <v>26</v>
      </c>
      <c r="N52" s="23">
        <v>0</v>
      </c>
      <c r="O52" s="23">
        <f>94*750+94*750</f>
        <v>141000</v>
      </c>
      <c r="P52" s="23">
        <v>150000</v>
      </c>
      <c r="Q52" s="23">
        <v>0</v>
      </c>
      <c r="R52" s="23">
        <f t="shared" si="3"/>
        <v>291000</v>
      </c>
      <c r="S52" s="12" t="s">
        <v>170</v>
      </c>
      <c r="T52" s="30"/>
    </row>
    <row r="53" s="1" customFormat="1" ht="80" customHeight="1" spans="1:20">
      <c r="A53" s="12">
        <v>50</v>
      </c>
      <c r="B53" s="12" t="s">
        <v>33</v>
      </c>
      <c r="C53" s="12" t="s">
        <v>132</v>
      </c>
      <c r="D53" s="12" t="s">
        <v>39</v>
      </c>
      <c r="E53" s="12" t="s">
        <v>24</v>
      </c>
      <c r="F53" s="15">
        <v>43322</v>
      </c>
      <c r="G53" s="15">
        <v>43686</v>
      </c>
      <c r="H53" s="19">
        <v>0</v>
      </c>
      <c r="I53" s="12">
        <v>140</v>
      </c>
      <c r="J53" s="19">
        <v>0</v>
      </c>
      <c r="K53" s="12">
        <v>700</v>
      </c>
      <c r="L53" s="12" t="s">
        <v>133</v>
      </c>
      <c r="M53" s="12" t="s">
        <v>26</v>
      </c>
      <c r="N53" s="23">
        <v>0</v>
      </c>
      <c r="O53" s="23">
        <f>94*750</f>
        <v>70500</v>
      </c>
      <c r="P53" s="23">
        <v>216000</v>
      </c>
      <c r="Q53" s="23">
        <v>0</v>
      </c>
      <c r="R53" s="23">
        <f t="shared" si="3"/>
        <v>286500</v>
      </c>
      <c r="S53" s="12" t="s">
        <v>171</v>
      </c>
      <c r="T53" s="30"/>
    </row>
    <row r="54" s="1" customFormat="1" ht="80" customHeight="1" spans="1:20">
      <c r="A54" s="12">
        <v>51</v>
      </c>
      <c r="B54" s="12" t="s">
        <v>33</v>
      </c>
      <c r="C54" s="12" t="s">
        <v>142</v>
      </c>
      <c r="D54" s="12" t="s">
        <v>39</v>
      </c>
      <c r="E54" s="12" t="s">
        <v>24</v>
      </c>
      <c r="F54" s="13">
        <v>43280</v>
      </c>
      <c r="G54" s="13">
        <v>43644</v>
      </c>
      <c r="H54" s="12">
        <v>0</v>
      </c>
      <c r="I54" s="12">
        <v>40</v>
      </c>
      <c r="J54" s="12">
        <v>0</v>
      </c>
      <c r="K54" s="12">
        <v>300</v>
      </c>
      <c r="L54" s="12" t="s">
        <v>172</v>
      </c>
      <c r="M54" s="12" t="s">
        <v>166</v>
      </c>
      <c r="N54" s="23">
        <v>0</v>
      </c>
      <c r="O54" s="23">
        <v>60000</v>
      </c>
      <c r="P54" s="23">
        <v>60000</v>
      </c>
      <c r="Q54" s="23">
        <v>0</v>
      </c>
      <c r="R54" s="23">
        <f t="shared" si="3"/>
        <v>120000</v>
      </c>
      <c r="S54" s="12" t="s">
        <v>173</v>
      </c>
      <c r="T54" s="30"/>
    </row>
    <row r="55" s="1" customFormat="1" ht="80" customHeight="1" spans="1:20">
      <c r="A55" s="12">
        <v>52</v>
      </c>
      <c r="B55" s="12" t="s">
        <v>33</v>
      </c>
      <c r="C55" s="12" t="s">
        <v>174</v>
      </c>
      <c r="D55" s="12" t="s">
        <v>111</v>
      </c>
      <c r="E55" s="12" t="s">
        <v>30</v>
      </c>
      <c r="F55" s="13">
        <v>43273</v>
      </c>
      <c r="G55" s="13">
        <v>43638</v>
      </c>
      <c r="H55" s="12">
        <v>0</v>
      </c>
      <c r="I55" s="12">
        <v>67</v>
      </c>
      <c r="J55" s="12">
        <v>0</v>
      </c>
      <c r="K55" s="12">
        <v>500</v>
      </c>
      <c r="L55" s="12" t="s">
        <v>175</v>
      </c>
      <c r="M55" s="12" t="s">
        <v>166</v>
      </c>
      <c r="N55" s="23">
        <v>0</v>
      </c>
      <c r="O55" s="23">
        <v>50250</v>
      </c>
      <c r="P55" s="23">
        <v>150750</v>
      </c>
      <c r="Q55" s="23">
        <v>0</v>
      </c>
      <c r="R55" s="23">
        <f t="shared" si="3"/>
        <v>201000</v>
      </c>
      <c r="S55" s="12" t="s">
        <v>176</v>
      </c>
      <c r="T55" s="30"/>
    </row>
    <row r="56" s="1" customFormat="1" ht="80" customHeight="1" spans="1:20">
      <c r="A56" s="12">
        <v>53</v>
      </c>
      <c r="B56" s="12" t="s">
        <v>33</v>
      </c>
      <c r="C56" s="12" t="s">
        <v>128</v>
      </c>
      <c r="D56" s="12" t="s">
        <v>39</v>
      </c>
      <c r="E56" s="12" t="s">
        <v>24</v>
      </c>
      <c r="F56" s="15">
        <v>43215</v>
      </c>
      <c r="G56" s="15">
        <v>43579</v>
      </c>
      <c r="H56" s="12">
        <v>0</v>
      </c>
      <c r="I56" s="12">
        <v>30</v>
      </c>
      <c r="J56" s="12">
        <v>0</v>
      </c>
      <c r="K56" s="12">
        <v>220</v>
      </c>
      <c r="L56" s="12" t="s">
        <v>177</v>
      </c>
      <c r="M56" s="12" t="s">
        <v>166</v>
      </c>
      <c r="N56" s="23">
        <v>0</v>
      </c>
      <c r="O56" s="23">
        <f>22500+22500</f>
        <v>45000</v>
      </c>
      <c r="P56" s="23">
        <v>45000</v>
      </c>
      <c r="Q56" s="23">
        <v>0</v>
      </c>
      <c r="R56" s="23">
        <f t="shared" si="3"/>
        <v>90000</v>
      </c>
      <c r="S56" s="12" t="s">
        <v>178</v>
      </c>
      <c r="T56" s="30"/>
    </row>
    <row r="57" s="1" customFormat="1" ht="80" customHeight="1" spans="1:20">
      <c r="A57" s="12">
        <v>54</v>
      </c>
      <c r="B57" s="12" t="s">
        <v>33</v>
      </c>
      <c r="C57" s="12" t="s">
        <v>138</v>
      </c>
      <c r="D57" s="12" t="s">
        <v>139</v>
      </c>
      <c r="E57" s="12" t="s">
        <v>24</v>
      </c>
      <c r="F57" s="15">
        <v>43299</v>
      </c>
      <c r="G57" s="15">
        <v>43663</v>
      </c>
      <c r="H57" s="12">
        <v>0</v>
      </c>
      <c r="I57" s="12">
        <v>40</v>
      </c>
      <c r="J57" s="12">
        <v>0</v>
      </c>
      <c r="K57" s="12">
        <v>300</v>
      </c>
      <c r="L57" s="12" t="s">
        <v>179</v>
      </c>
      <c r="M57" s="12" t="s">
        <v>166</v>
      </c>
      <c r="N57" s="23">
        <v>0</v>
      </c>
      <c r="O57" s="23">
        <f>40*2000</f>
        <v>80000</v>
      </c>
      <c r="P57" s="23">
        <v>40000</v>
      </c>
      <c r="Q57" s="23">
        <v>0</v>
      </c>
      <c r="R57" s="23">
        <f t="shared" si="3"/>
        <v>120000</v>
      </c>
      <c r="S57" s="12" t="s">
        <v>180</v>
      </c>
      <c r="T57" s="30"/>
    </row>
    <row r="58" s="1" customFormat="1" ht="80" customHeight="1" spans="1:20">
      <c r="A58" s="12">
        <v>55</v>
      </c>
      <c r="B58" s="12" t="s">
        <v>33</v>
      </c>
      <c r="C58" s="12" t="s">
        <v>148</v>
      </c>
      <c r="D58" s="12" t="s">
        <v>39</v>
      </c>
      <c r="E58" s="12" t="s">
        <v>24</v>
      </c>
      <c r="F58" s="13">
        <v>43250</v>
      </c>
      <c r="G58" s="13">
        <v>43614</v>
      </c>
      <c r="H58" s="12">
        <v>0</v>
      </c>
      <c r="I58" s="12">
        <v>27</v>
      </c>
      <c r="J58" s="12">
        <v>0</v>
      </c>
      <c r="K58" s="12">
        <v>200</v>
      </c>
      <c r="L58" s="12" t="s">
        <v>181</v>
      </c>
      <c r="M58" s="12" t="s">
        <v>166</v>
      </c>
      <c r="N58" s="23">
        <v>0</v>
      </c>
      <c r="O58" s="23">
        <f>27*2000</f>
        <v>54000</v>
      </c>
      <c r="P58" s="23">
        <v>27000</v>
      </c>
      <c r="Q58" s="23">
        <v>0</v>
      </c>
      <c r="R58" s="23">
        <f t="shared" si="3"/>
        <v>81000</v>
      </c>
      <c r="S58" s="12" t="s">
        <v>182</v>
      </c>
      <c r="T58" s="30"/>
    </row>
    <row r="59" s="1" customFormat="1" ht="80" customHeight="1" spans="1:20">
      <c r="A59" s="12">
        <v>56</v>
      </c>
      <c r="B59" s="12" t="s">
        <v>33</v>
      </c>
      <c r="C59" s="12" t="s">
        <v>183</v>
      </c>
      <c r="D59" s="12" t="s">
        <v>111</v>
      </c>
      <c r="E59" s="12" t="s">
        <v>30</v>
      </c>
      <c r="F59" s="15">
        <v>43423</v>
      </c>
      <c r="G59" s="15">
        <v>43788</v>
      </c>
      <c r="H59" s="12">
        <v>0</v>
      </c>
      <c r="I59" s="12">
        <v>10</v>
      </c>
      <c r="J59" s="12">
        <v>0</v>
      </c>
      <c r="K59" s="12">
        <v>42.5</v>
      </c>
      <c r="L59" s="12" t="s">
        <v>184</v>
      </c>
      <c r="M59" s="12" t="s">
        <v>185</v>
      </c>
      <c r="N59" s="23">
        <v>0</v>
      </c>
      <c r="O59" s="23">
        <f>5*3000+5*400</f>
        <v>17000</v>
      </c>
      <c r="P59" s="23">
        <v>0</v>
      </c>
      <c r="Q59" s="23">
        <v>0</v>
      </c>
      <c r="R59" s="23">
        <f t="shared" si="3"/>
        <v>17000</v>
      </c>
      <c r="S59" s="12" t="s">
        <v>186</v>
      </c>
      <c r="T59" s="30"/>
    </row>
    <row r="60" s="1" customFormat="1" ht="80" customHeight="1" spans="1:20">
      <c r="A60" s="12">
        <v>57</v>
      </c>
      <c r="B60" s="12" t="s">
        <v>33</v>
      </c>
      <c r="C60" s="12" t="s">
        <v>135</v>
      </c>
      <c r="D60" s="12" t="s">
        <v>125</v>
      </c>
      <c r="E60" s="12" t="s">
        <v>24</v>
      </c>
      <c r="F60" s="15">
        <v>43405</v>
      </c>
      <c r="G60" s="15">
        <v>43770</v>
      </c>
      <c r="H60" s="12">
        <v>0</v>
      </c>
      <c r="I60" s="12">
        <v>1000</v>
      </c>
      <c r="J60" s="12">
        <v>0</v>
      </c>
      <c r="K60" s="12">
        <v>1000</v>
      </c>
      <c r="L60" s="12" t="s">
        <v>187</v>
      </c>
      <c r="M60" s="12" t="s">
        <v>100</v>
      </c>
      <c r="N60" s="23">
        <v>0</v>
      </c>
      <c r="O60" s="23">
        <f>1000*200</f>
        <v>200000</v>
      </c>
      <c r="P60" s="23">
        <v>222300</v>
      </c>
      <c r="Q60" s="23">
        <v>0</v>
      </c>
      <c r="R60" s="23">
        <f t="shared" si="3"/>
        <v>422300</v>
      </c>
      <c r="S60" s="12" t="s">
        <v>188</v>
      </c>
      <c r="T60" s="30"/>
    </row>
    <row r="61" s="1" customFormat="1" ht="80" customHeight="1" spans="1:20">
      <c r="A61" s="12">
        <v>58</v>
      </c>
      <c r="B61" s="12" t="s">
        <v>33</v>
      </c>
      <c r="C61" s="12" t="s">
        <v>98</v>
      </c>
      <c r="D61" s="12" t="s">
        <v>39</v>
      </c>
      <c r="E61" s="12" t="s">
        <v>24</v>
      </c>
      <c r="F61" s="15">
        <v>43389</v>
      </c>
      <c r="G61" s="15">
        <v>43753</v>
      </c>
      <c r="H61" s="12">
        <v>0</v>
      </c>
      <c r="I61" s="12">
        <v>1000</v>
      </c>
      <c r="J61" s="12">
        <v>0</v>
      </c>
      <c r="K61" s="12">
        <v>1000</v>
      </c>
      <c r="L61" s="12" t="s">
        <v>189</v>
      </c>
      <c r="M61" s="12" t="s">
        <v>100</v>
      </c>
      <c r="N61" s="23">
        <v>0</v>
      </c>
      <c r="O61" s="23">
        <f>1000*200</f>
        <v>200000</v>
      </c>
      <c r="P61" s="23">
        <v>234960</v>
      </c>
      <c r="Q61" s="23">
        <v>0</v>
      </c>
      <c r="R61" s="23">
        <f t="shared" si="3"/>
        <v>434960</v>
      </c>
      <c r="S61" s="12" t="s">
        <v>190</v>
      </c>
      <c r="T61" s="30"/>
    </row>
    <row r="62" s="1" customFormat="1" ht="80" customHeight="1" spans="1:20">
      <c r="A62" s="12">
        <v>59</v>
      </c>
      <c r="B62" s="12" t="s">
        <v>33</v>
      </c>
      <c r="C62" s="12" t="s">
        <v>80</v>
      </c>
      <c r="D62" s="12" t="s">
        <v>39</v>
      </c>
      <c r="E62" s="12" t="s">
        <v>24</v>
      </c>
      <c r="F62" s="15">
        <v>43372</v>
      </c>
      <c r="G62" s="15">
        <v>43736</v>
      </c>
      <c r="H62" s="12">
        <v>0</v>
      </c>
      <c r="I62" s="12">
        <v>500</v>
      </c>
      <c r="J62" s="12">
        <v>0</v>
      </c>
      <c r="K62" s="12">
        <v>500</v>
      </c>
      <c r="L62" s="12" t="s">
        <v>191</v>
      </c>
      <c r="M62" s="12" t="s">
        <v>100</v>
      </c>
      <c r="N62" s="23">
        <v>0</v>
      </c>
      <c r="O62" s="23">
        <f>500*200</f>
        <v>100000</v>
      </c>
      <c r="P62" s="23">
        <v>101200</v>
      </c>
      <c r="Q62" s="23">
        <v>0</v>
      </c>
      <c r="R62" s="23">
        <f t="shared" si="3"/>
        <v>201200</v>
      </c>
      <c r="S62" s="12" t="s">
        <v>192</v>
      </c>
      <c r="T62" s="30"/>
    </row>
    <row r="63" s="1" customFormat="1" ht="80" customHeight="1" spans="1:20">
      <c r="A63" s="12">
        <v>60</v>
      </c>
      <c r="B63" s="12" t="s">
        <v>33</v>
      </c>
      <c r="C63" s="12" t="s">
        <v>107</v>
      </c>
      <c r="D63" s="12" t="s">
        <v>39</v>
      </c>
      <c r="E63" s="12" t="s">
        <v>24</v>
      </c>
      <c r="F63" s="15">
        <v>43372</v>
      </c>
      <c r="G63" s="15">
        <v>43736</v>
      </c>
      <c r="H63" s="12">
        <v>0</v>
      </c>
      <c r="I63" s="12">
        <v>80</v>
      </c>
      <c r="J63" s="12">
        <v>0</v>
      </c>
      <c r="K63" s="12">
        <v>100</v>
      </c>
      <c r="L63" s="12" t="s">
        <v>108</v>
      </c>
      <c r="M63" s="12" t="s">
        <v>44</v>
      </c>
      <c r="N63" s="23">
        <v>0</v>
      </c>
      <c r="O63" s="23">
        <f>75*200+1500*4</f>
        <v>21000</v>
      </c>
      <c r="P63" s="23">
        <v>22500</v>
      </c>
      <c r="Q63" s="23">
        <v>0</v>
      </c>
      <c r="R63" s="23">
        <f t="shared" si="3"/>
        <v>43500</v>
      </c>
      <c r="S63" s="12" t="s">
        <v>193</v>
      </c>
      <c r="T63" s="30"/>
    </row>
    <row r="64" s="1" customFormat="1" ht="80" customHeight="1" spans="1:20">
      <c r="A64" s="12">
        <v>61</v>
      </c>
      <c r="B64" s="12" t="s">
        <v>33</v>
      </c>
      <c r="C64" s="12" t="s">
        <v>110</v>
      </c>
      <c r="D64" s="12" t="s">
        <v>111</v>
      </c>
      <c r="E64" s="12" t="s">
        <v>30</v>
      </c>
      <c r="F64" s="15">
        <v>43369</v>
      </c>
      <c r="G64" s="15">
        <v>43733</v>
      </c>
      <c r="H64" s="12">
        <v>0</v>
      </c>
      <c r="I64" s="12">
        <v>239</v>
      </c>
      <c r="J64" s="12">
        <v>0</v>
      </c>
      <c r="K64" s="12">
        <v>500</v>
      </c>
      <c r="L64" s="12" t="s">
        <v>194</v>
      </c>
      <c r="M64" s="12" t="s">
        <v>44</v>
      </c>
      <c r="N64" s="23">
        <v>0</v>
      </c>
      <c r="O64" s="23">
        <f>43*1500+179*200</f>
        <v>100300</v>
      </c>
      <c r="P64" s="23">
        <v>109150</v>
      </c>
      <c r="Q64" s="23">
        <v>0</v>
      </c>
      <c r="R64" s="23">
        <f t="shared" si="3"/>
        <v>209450</v>
      </c>
      <c r="S64" s="12" t="s">
        <v>195</v>
      </c>
      <c r="T64" s="30"/>
    </row>
    <row r="65" s="1" customFormat="1" ht="80" customHeight="1" spans="1:20">
      <c r="A65" s="12">
        <v>62</v>
      </c>
      <c r="B65" s="12" t="s">
        <v>33</v>
      </c>
      <c r="C65" s="12" t="s">
        <v>159</v>
      </c>
      <c r="D65" s="12" t="s">
        <v>160</v>
      </c>
      <c r="E65" s="12" t="s">
        <v>30</v>
      </c>
      <c r="F65" s="13">
        <v>43020</v>
      </c>
      <c r="G65" s="13">
        <v>43385</v>
      </c>
      <c r="H65" s="16">
        <v>0</v>
      </c>
      <c r="I65" s="16">
        <v>40</v>
      </c>
      <c r="J65" s="12">
        <v>0</v>
      </c>
      <c r="K65" s="12">
        <v>300</v>
      </c>
      <c r="L65" s="12" t="s">
        <v>196</v>
      </c>
      <c r="M65" s="12" t="s">
        <v>166</v>
      </c>
      <c r="N65" s="23">
        <v>40000</v>
      </c>
      <c r="O65" s="23">
        <v>80000</v>
      </c>
      <c r="P65" s="23">
        <v>0</v>
      </c>
      <c r="Q65" s="23">
        <v>0</v>
      </c>
      <c r="R65" s="23">
        <f t="shared" si="3"/>
        <v>120000</v>
      </c>
      <c r="S65" s="12" t="s">
        <v>197</v>
      </c>
      <c r="T65" s="30"/>
    </row>
    <row r="66" s="1" customFormat="1" ht="80" customHeight="1" spans="1:20">
      <c r="A66" s="12">
        <v>63</v>
      </c>
      <c r="B66" s="12" t="s">
        <v>33</v>
      </c>
      <c r="C66" s="12" t="s">
        <v>152</v>
      </c>
      <c r="D66" s="12" t="s">
        <v>23</v>
      </c>
      <c r="E66" s="12" t="s">
        <v>30</v>
      </c>
      <c r="F66" s="13">
        <v>43094</v>
      </c>
      <c r="G66" s="13">
        <v>43459</v>
      </c>
      <c r="H66" s="12">
        <v>0</v>
      </c>
      <c r="I66" s="12">
        <v>243</v>
      </c>
      <c r="J66" s="12">
        <v>0</v>
      </c>
      <c r="K66" s="12">
        <v>1820</v>
      </c>
      <c r="L66" s="12" t="s">
        <v>198</v>
      </c>
      <c r="M66" s="12" t="s">
        <v>166</v>
      </c>
      <c r="N66" s="23">
        <v>0</v>
      </c>
      <c r="O66" s="23">
        <f>217*2250+26*3000+217*750</f>
        <v>729000</v>
      </c>
      <c r="P66" s="23">
        <v>0</v>
      </c>
      <c r="Q66" s="23">
        <v>0</v>
      </c>
      <c r="R66" s="23">
        <f t="shared" si="3"/>
        <v>729000</v>
      </c>
      <c r="S66" s="12" t="s">
        <v>199</v>
      </c>
      <c r="T66" s="30"/>
    </row>
    <row r="67" s="1" customFormat="1" ht="80" customHeight="1" spans="1:20">
      <c r="A67" s="12">
        <v>64</v>
      </c>
      <c r="B67" s="12" t="s">
        <v>33</v>
      </c>
      <c r="C67" s="12" t="s">
        <v>152</v>
      </c>
      <c r="D67" s="12" t="s">
        <v>39</v>
      </c>
      <c r="E67" s="12" t="s">
        <v>30</v>
      </c>
      <c r="F67" s="12" t="s">
        <v>200</v>
      </c>
      <c r="G67" s="12" t="s">
        <v>201</v>
      </c>
      <c r="H67" s="12">
        <v>0</v>
      </c>
      <c r="I67" s="12">
        <v>100</v>
      </c>
      <c r="J67" s="12">
        <v>0</v>
      </c>
      <c r="K67" s="12">
        <v>500</v>
      </c>
      <c r="L67" s="12" t="s">
        <v>202</v>
      </c>
      <c r="M67" s="12" t="s">
        <v>203</v>
      </c>
      <c r="N67" s="23">
        <v>500000</v>
      </c>
      <c r="O67" s="23">
        <v>0</v>
      </c>
      <c r="P67" s="23">
        <v>0</v>
      </c>
      <c r="Q67" s="23">
        <v>0</v>
      </c>
      <c r="R67" s="23">
        <f t="shared" si="3"/>
        <v>500000</v>
      </c>
      <c r="S67" s="12" t="s">
        <v>204</v>
      </c>
      <c r="T67" s="30"/>
    </row>
    <row r="68" s="1" customFormat="1" ht="80" customHeight="1" spans="1:20">
      <c r="A68" s="12">
        <v>65</v>
      </c>
      <c r="B68" s="12" t="s">
        <v>33</v>
      </c>
      <c r="C68" s="12" t="s">
        <v>59</v>
      </c>
      <c r="D68" s="12" t="s">
        <v>23</v>
      </c>
      <c r="E68" s="12" t="s">
        <v>24</v>
      </c>
      <c r="F68" s="13">
        <v>43095</v>
      </c>
      <c r="G68" s="13">
        <v>43460</v>
      </c>
      <c r="H68" s="12">
        <v>0</v>
      </c>
      <c r="I68" s="12">
        <v>40</v>
      </c>
      <c r="J68" s="12">
        <v>0</v>
      </c>
      <c r="K68" s="12">
        <v>300</v>
      </c>
      <c r="L68" s="12" t="s">
        <v>205</v>
      </c>
      <c r="M68" s="12" t="s">
        <v>166</v>
      </c>
      <c r="N68" s="23">
        <v>0</v>
      </c>
      <c r="O68" s="23">
        <v>120000</v>
      </c>
      <c r="P68" s="23">
        <v>0</v>
      </c>
      <c r="Q68" s="23">
        <v>0</v>
      </c>
      <c r="R68" s="23">
        <f t="shared" ref="R68:R90" si="4">N68+O68+P68+Q68</f>
        <v>120000</v>
      </c>
      <c r="S68" s="12" t="s">
        <v>206</v>
      </c>
      <c r="T68" s="30"/>
    </row>
    <row r="69" s="1" customFormat="1" ht="80" customHeight="1" spans="1:20">
      <c r="A69" s="12">
        <v>66</v>
      </c>
      <c r="B69" s="12" t="s">
        <v>33</v>
      </c>
      <c r="C69" s="12" t="s">
        <v>72</v>
      </c>
      <c r="D69" s="12" t="s">
        <v>23</v>
      </c>
      <c r="E69" s="12" t="s">
        <v>24</v>
      </c>
      <c r="F69" s="13">
        <v>43095</v>
      </c>
      <c r="G69" s="13">
        <v>43460</v>
      </c>
      <c r="H69" s="12">
        <v>0</v>
      </c>
      <c r="I69" s="12">
        <v>40</v>
      </c>
      <c r="J69" s="12">
        <v>0</v>
      </c>
      <c r="K69" s="12">
        <v>300</v>
      </c>
      <c r="L69" s="12" t="s">
        <v>205</v>
      </c>
      <c r="M69" s="12" t="s">
        <v>166</v>
      </c>
      <c r="N69" s="23">
        <v>0</v>
      </c>
      <c r="O69" s="23">
        <v>120000</v>
      </c>
      <c r="P69" s="23">
        <v>0</v>
      </c>
      <c r="Q69" s="23">
        <v>0</v>
      </c>
      <c r="R69" s="23">
        <f t="shared" si="4"/>
        <v>120000</v>
      </c>
      <c r="S69" s="12" t="s">
        <v>206</v>
      </c>
      <c r="T69" s="30"/>
    </row>
    <row r="70" s="1" customFormat="1" ht="80" customHeight="1" spans="1:20">
      <c r="A70" s="12">
        <v>67</v>
      </c>
      <c r="B70" s="12" t="s">
        <v>33</v>
      </c>
      <c r="C70" s="12" t="s">
        <v>62</v>
      </c>
      <c r="D70" s="12" t="s">
        <v>23</v>
      </c>
      <c r="E70" s="12" t="s">
        <v>24</v>
      </c>
      <c r="F70" s="13">
        <v>43095</v>
      </c>
      <c r="G70" s="13">
        <v>43460</v>
      </c>
      <c r="H70" s="12">
        <v>0</v>
      </c>
      <c r="I70" s="12">
        <v>40</v>
      </c>
      <c r="J70" s="12">
        <v>0</v>
      </c>
      <c r="K70" s="12">
        <v>300</v>
      </c>
      <c r="L70" s="12" t="s">
        <v>205</v>
      </c>
      <c r="M70" s="12" t="s">
        <v>166</v>
      </c>
      <c r="N70" s="23">
        <v>0</v>
      </c>
      <c r="O70" s="23">
        <v>120000</v>
      </c>
      <c r="P70" s="23">
        <v>0</v>
      </c>
      <c r="Q70" s="23">
        <v>0</v>
      </c>
      <c r="R70" s="23">
        <f t="shared" si="4"/>
        <v>120000</v>
      </c>
      <c r="S70" s="12" t="s">
        <v>206</v>
      </c>
      <c r="T70" s="30"/>
    </row>
    <row r="71" s="1" customFormat="1" ht="80" customHeight="1" spans="1:20">
      <c r="A71" s="12">
        <v>68</v>
      </c>
      <c r="B71" s="12" t="s">
        <v>33</v>
      </c>
      <c r="C71" s="12" t="s">
        <v>46</v>
      </c>
      <c r="D71" s="12" t="s">
        <v>23</v>
      </c>
      <c r="E71" s="12" t="s">
        <v>24</v>
      </c>
      <c r="F71" s="13">
        <v>43095</v>
      </c>
      <c r="G71" s="13">
        <v>43460</v>
      </c>
      <c r="H71" s="12">
        <v>0</v>
      </c>
      <c r="I71" s="12">
        <v>40</v>
      </c>
      <c r="J71" s="12">
        <v>0</v>
      </c>
      <c r="K71" s="12">
        <v>300</v>
      </c>
      <c r="L71" s="12" t="s">
        <v>205</v>
      </c>
      <c r="M71" s="12" t="s">
        <v>166</v>
      </c>
      <c r="N71" s="23">
        <v>0</v>
      </c>
      <c r="O71" s="23">
        <v>120000</v>
      </c>
      <c r="P71" s="23">
        <v>0</v>
      </c>
      <c r="Q71" s="23">
        <v>0</v>
      </c>
      <c r="R71" s="23">
        <f t="shared" si="4"/>
        <v>120000</v>
      </c>
      <c r="S71" s="12" t="s">
        <v>206</v>
      </c>
      <c r="T71" s="30"/>
    </row>
    <row r="72" s="1" customFormat="1" ht="80" customHeight="1" spans="1:20">
      <c r="A72" s="12">
        <v>69</v>
      </c>
      <c r="B72" s="12" t="s">
        <v>33</v>
      </c>
      <c r="C72" s="12" t="s">
        <v>65</v>
      </c>
      <c r="D72" s="12" t="s">
        <v>23</v>
      </c>
      <c r="E72" s="12" t="s">
        <v>24</v>
      </c>
      <c r="F72" s="13">
        <v>43095</v>
      </c>
      <c r="G72" s="13">
        <v>43460</v>
      </c>
      <c r="H72" s="12">
        <v>0</v>
      </c>
      <c r="I72" s="12">
        <v>40</v>
      </c>
      <c r="J72" s="12">
        <v>0</v>
      </c>
      <c r="K72" s="12">
        <v>300</v>
      </c>
      <c r="L72" s="12" t="s">
        <v>205</v>
      </c>
      <c r="M72" s="12" t="s">
        <v>166</v>
      </c>
      <c r="N72" s="23">
        <v>0</v>
      </c>
      <c r="O72" s="23">
        <v>120000</v>
      </c>
      <c r="P72" s="23">
        <v>0</v>
      </c>
      <c r="Q72" s="23">
        <v>0</v>
      </c>
      <c r="R72" s="23">
        <f t="shared" si="4"/>
        <v>120000</v>
      </c>
      <c r="S72" s="12" t="s">
        <v>206</v>
      </c>
      <c r="T72" s="30"/>
    </row>
    <row r="73" s="1" customFormat="1" ht="80" customHeight="1" spans="1:20">
      <c r="A73" s="12">
        <v>70</v>
      </c>
      <c r="B73" s="12" t="s">
        <v>33</v>
      </c>
      <c r="C73" s="12" t="s">
        <v>49</v>
      </c>
      <c r="D73" s="12" t="s">
        <v>23</v>
      </c>
      <c r="E73" s="12" t="s">
        <v>24</v>
      </c>
      <c r="F73" s="13">
        <v>43095</v>
      </c>
      <c r="G73" s="13">
        <v>43460</v>
      </c>
      <c r="H73" s="12">
        <v>0</v>
      </c>
      <c r="I73" s="12">
        <v>40</v>
      </c>
      <c r="J73" s="12">
        <v>0</v>
      </c>
      <c r="K73" s="12">
        <v>300</v>
      </c>
      <c r="L73" s="12" t="s">
        <v>205</v>
      </c>
      <c r="M73" s="12" t="s">
        <v>166</v>
      </c>
      <c r="N73" s="23">
        <v>0</v>
      </c>
      <c r="O73" s="23">
        <v>120000</v>
      </c>
      <c r="P73" s="23">
        <v>0</v>
      </c>
      <c r="Q73" s="23">
        <v>0</v>
      </c>
      <c r="R73" s="23">
        <f t="shared" si="4"/>
        <v>120000</v>
      </c>
      <c r="S73" s="12" t="s">
        <v>206</v>
      </c>
      <c r="T73" s="30"/>
    </row>
    <row r="74" s="1" customFormat="1" ht="80" customHeight="1" spans="1:20">
      <c r="A74" s="12">
        <v>71</v>
      </c>
      <c r="B74" s="12" t="s">
        <v>33</v>
      </c>
      <c r="C74" s="12" t="s">
        <v>52</v>
      </c>
      <c r="D74" s="12" t="s">
        <v>23</v>
      </c>
      <c r="E74" s="12" t="s">
        <v>24</v>
      </c>
      <c r="F74" s="13">
        <v>43095</v>
      </c>
      <c r="G74" s="13">
        <v>43460</v>
      </c>
      <c r="H74" s="12">
        <v>0</v>
      </c>
      <c r="I74" s="12">
        <v>40</v>
      </c>
      <c r="J74" s="12">
        <v>0</v>
      </c>
      <c r="K74" s="12">
        <v>300</v>
      </c>
      <c r="L74" s="12" t="s">
        <v>205</v>
      </c>
      <c r="M74" s="12" t="s">
        <v>166</v>
      </c>
      <c r="N74" s="23">
        <v>0</v>
      </c>
      <c r="O74" s="23">
        <v>120000</v>
      </c>
      <c r="P74" s="23">
        <v>0</v>
      </c>
      <c r="Q74" s="23">
        <v>0</v>
      </c>
      <c r="R74" s="23">
        <f t="shared" si="4"/>
        <v>120000</v>
      </c>
      <c r="S74" s="12" t="s">
        <v>206</v>
      </c>
      <c r="T74" s="30"/>
    </row>
    <row r="75" s="1" customFormat="1" ht="80" customHeight="1" spans="1:20">
      <c r="A75" s="12">
        <v>72</v>
      </c>
      <c r="B75" s="12" t="s">
        <v>33</v>
      </c>
      <c r="C75" s="12" t="s">
        <v>54</v>
      </c>
      <c r="D75" s="12" t="s">
        <v>23</v>
      </c>
      <c r="E75" s="12" t="s">
        <v>24</v>
      </c>
      <c r="F75" s="13">
        <v>43095</v>
      </c>
      <c r="G75" s="13">
        <v>43460</v>
      </c>
      <c r="H75" s="12">
        <v>0</v>
      </c>
      <c r="I75" s="12">
        <v>40</v>
      </c>
      <c r="J75" s="12">
        <v>0</v>
      </c>
      <c r="K75" s="12">
        <v>300</v>
      </c>
      <c r="L75" s="12" t="s">
        <v>205</v>
      </c>
      <c r="M75" s="12" t="s">
        <v>166</v>
      </c>
      <c r="N75" s="23">
        <v>0</v>
      </c>
      <c r="O75" s="23">
        <v>120000</v>
      </c>
      <c r="P75" s="23">
        <v>0</v>
      </c>
      <c r="Q75" s="23">
        <v>0</v>
      </c>
      <c r="R75" s="23">
        <f t="shared" si="4"/>
        <v>120000</v>
      </c>
      <c r="S75" s="12" t="s">
        <v>206</v>
      </c>
      <c r="T75" s="30"/>
    </row>
    <row r="76" s="1" customFormat="1" ht="80" customHeight="1" spans="1:20">
      <c r="A76" s="12">
        <v>73</v>
      </c>
      <c r="B76" s="12" t="s">
        <v>33</v>
      </c>
      <c r="C76" s="12" t="s">
        <v>68</v>
      </c>
      <c r="D76" s="12" t="s">
        <v>23</v>
      </c>
      <c r="E76" s="12" t="s">
        <v>24</v>
      </c>
      <c r="F76" s="13">
        <v>43095</v>
      </c>
      <c r="G76" s="13">
        <v>43460</v>
      </c>
      <c r="H76" s="12">
        <v>0</v>
      </c>
      <c r="I76" s="12">
        <v>40</v>
      </c>
      <c r="J76" s="12">
        <v>0</v>
      </c>
      <c r="K76" s="12">
        <v>300</v>
      </c>
      <c r="L76" s="12" t="s">
        <v>207</v>
      </c>
      <c r="M76" s="12" t="s">
        <v>166</v>
      </c>
      <c r="N76" s="23">
        <v>0</v>
      </c>
      <c r="O76" s="23">
        <v>120000</v>
      </c>
      <c r="P76" s="23">
        <v>0</v>
      </c>
      <c r="Q76" s="23">
        <v>0</v>
      </c>
      <c r="R76" s="23">
        <f t="shared" si="4"/>
        <v>120000</v>
      </c>
      <c r="S76" s="12" t="s">
        <v>206</v>
      </c>
      <c r="T76" s="30"/>
    </row>
    <row r="77" s="1" customFormat="1" ht="80" customHeight="1" spans="1:20">
      <c r="A77" s="12">
        <v>74</v>
      </c>
      <c r="B77" s="12" t="s">
        <v>33</v>
      </c>
      <c r="C77" s="12" t="s">
        <v>70</v>
      </c>
      <c r="D77" s="12" t="s">
        <v>23</v>
      </c>
      <c r="E77" s="12" t="s">
        <v>24</v>
      </c>
      <c r="F77" s="13">
        <v>43095</v>
      </c>
      <c r="G77" s="13">
        <v>43460</v>
      </c>
      <c r="H77" s="12">
        <v>0</v>
      </c>
      <c r="I77" s="12">
        <v>40</v>
      </c>
      <c r="J77" s="12">
        <v>0</v>
      </c>
      <c r="K77" s="12">
        <v>300</v>
      </c>
      <c r="L77" s="12" t="s">
        <v>205</v>
      </c>
      <c r="M77" s="12" t="s">
        <v>166</v>
      </c>
      <c r="N77" s="23">
        <v>0</v>
      </c>
      <c r="O77" s="23">
        <v>120000</v>
      </c>
      <c r="P77" s="23">
        <v>0</v>
      </c>
      <c r="Q77" s="23">
        <v>0</v>
      </c>
      <c r="R77" s="23">
        <f t="shared" si="4"/>
        <v>120000</v>
      </c>
      <c r="S77" s="12" t="s">
        <v>206</v>
      </c>
      <c r="T77" s="30"/>
    </row>
    <row r="78" s="1" customFormat="1" ht="80" customHeight="1" spans="1:20">
      <c r="A78" s="12">
        <v>75</v>
      </c>
      <c r="B78" s="12" t="s">
        <v>33</v>
      </c>
      <c r="C78" s="12" t="s">
        <v>74</v>
      </c>
      <c r="D78" s="12" t="s">
        <v>23</v>
      </c>
      <c r="E78" s="12" t="s">
        <v>24</v>
      </c>
      <c r="F78" s="13">
        <v>43095</v>
      </c>
      <c r="G78" s="13">
        <v>43460</v>
      </c>
      <c r="H78" s="12">
        <v>0</v>
      </c>
      <c r="I78" s="12">
        <v>40</v>
      </c>
      <c r="J78" s="12">
        <v>0</v>
      </c>
      <c r="K78" s="12">
        <v>300</v>
      </c>
      <c r="L78" s="12" t="s">
        <v>205</v>
      </c>
      <c r="M78" s="12" t="s">
        <v>166</v>
      </c>
      <c r="N78" s="23">
        <v>0</v>
      </c>
      <c r="O78" s="23">
        <v>120000</v>
      </c>
      <c r="P78" s="23">
        <v>0</v>
      </c>
      <c r="Q78" s="23">
        <v>0</v>
      </c>
      <c r="R78" s="23">
        <f t="shared" si="4"/>
        <v>120000</v>
      </c>
      <c r="S78" s="12" t="s">
        <v>206</v>
      </c>
      <c r="T78" s="30"/>
    </row>
    <row r="79" s="1" customFormat="1" ht="80" customHeight="1" spans="1:20">
      <c r="A79" s="12">
        <v>76</v>
      </c>
      <c r="B79" s="12" t="s">
        <v>33</v>
      </c>
      <c r="C79" s="12" t="s">
        <v>56</v>
      </c>
      <c r="D79" s="12" t="s">
        <v>23</v>
      </c>
      <c r="E79" s="12" t="s">
        <v>24</v>
      </c>
      <c r="F79" s="13">
        <v>43095</v>
      </c>
      <c r="G79" s="13">
        <v>43460</v>
      </c>
      <c r="H79" s="12">
        <v>0</v>
      </c>
      <c r="I79" s="12">
        <v>40</v>
      </c>
      <c r="J79" s="12">
        <v>0</v>
      </c>
      <c r="K79" s="12">
        <v>300</v>
      </c>
      <c r="L79" s="12" t="s">
        <v>205</v>
      </c>
      <c r="M79" s="12" t="s">
        <v>166</v>
      </c>
      <c r="N79" s="23">
        <v>0</v>
      </c>
      <c r="O79" s="23">
        <v>120000</v>
      </c>
      <c r="P79" s="23">
        <v>0</v>
      </c>
      <c r="Q79" s="23">
        <v>0</v>
      </c>
      <c r="R79" s="23">
        <f t="shared" si="4"/>
        <v>120000</v>
      </c>
      <c r="S79" s="12" t="s">
        <v>206</v>
      </c>
      <c r="T79" s="30"/>
    </row>
    <row r="80" s="1" customFormat="1" ht="80" customHeight="1" spans="1:20">
      <c r="A80" s="12">
        <v>77</v>
      </c>
      <c r="B80" s="12" t="s">
        <v>33</v>
      </c>
      <c r="C80" s="12" t="s">
        <v>80</v>
      </c>
      <c r="D80" s="12" t="s">
        <v>111</v>
      </c>
      <c r="E80" s="12" t="s">
        <v>30</v>
      </c>
      <c r="F80" s="15">
        <v>43473</v>
      </c>
      <c r="G80" s="15">
        <v>43837</v>
      </c>
      <c r="H80" s="12">
        <v>0</v>
      </c>
      <c r="I80" s="12">
        <v>116</v>
      </c>
      <c r="J80" s="12">
        <v>0</v>
      </c>
      <c r="K80" s="12">
        <v>580</v>
      </c>
      <c r="L80" s="12" t="s">
        <v>208</v>
      </c>
      <c r="M80" s="12" t="s">
        <v>26</v>
      </c>
      <c r="N80" s="23">
        <v>0</v>
      </c>
      <c r="O80" s="23">
        <v>0</v>
      </c>
      <c r="P80" s="23">
        <v>256200</v>
      </c>
      <c r="Q80" s="23">
        <v>0</v>
      </c>
      <c r="R80" s="23">
        <f t="shared" si="4"/>
        <v>256200</v>
      </c>
      <c r="S80" s="12" t="s">
        <v>209</v>
      </c>
      <c r="T80" s="30"/>
    </row>
    <row r="81" ht="80" customHeight="1" spans="1:19">
      <c r="A81" s="12"/>
      <c r="B81" s="12"/>
      <c r="C81" s="12"/>
      <c r="D81" s="12"/>
      <c r="E81" s="12"/>
      <c r="F81" s="12"/>
      <c r="G81" s="12"/>
      <c r="H81" s="12">
        <f>SUM(H4:H80)</f>
        <v>591</v>
      </c>
      <c r="I81" s="12">
        <f>SUM(I4:I80)</f>
        <v>17612</v>
      </c>
      <c r="J81" s="12">
        <f>SUM(J4:J80)</f>
        <v>2985</v>
      </c>
      <c r="K81" s="12">
        <f>SUM(K4:K80)</f>
        <v>62707.5</v>
      </c>
      <c r="L81" s="12">
        <f>I81+K81</f>
        <v>80319.5</v>
      </c>
      <c r="M81" s="12"/>
      <c r="N81" s="12">
        <f>SUM(N4:N80)</f>
        <v>3869000</v>
      </c>
      <c r="O81" s="12">
        <f>SUM(O4:O80)</f>
        <v>13806550</v>
      </c>
      <c r="P81" s="12">
        <f>SUM(P4:P80)</f>
        <v>19800060</v>
      </c>
      <c r="Q81" s="12">
        <f>SUM(Q4:Q80)</f>
        <v>18894990</v>
      </c>
      <c r="R81" s="23">
        <f t="shared" si="4"/>
        <v>56370600</v>
      </c>
      <c r="S81" s="12"/>
    </row>
  </sheetData>
  <sortState ref="A4:T80">
    <sortCondition ref="B4:B80"/>
  </sortState>
  <mergeCells count="2">
    <mergeCell ref="A1:S1"/>
    <mergeCell ref="I2:O2"/>
  </mergeCells>
  <pageMargins left="0.0388888888888889" right="0.0388888888888889" top="0.590277777777778" bottom="0.550694444444444" header="0.511805555555556" footer="0.511805555555556"/>
  <pageSetup paperSize="9" scale="3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吴晓阳</cp:lastModifiedBy>
  <dcterms:created xsi:type="dcterms:W3CDTF">2018-02-27T11:14:00Z</dcterms:created>
  <dcterms:modified xsi:type="dcterms:W3CDTF">2021-03-26T03:34:39Z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DDA5DAA3986946ACB3EB0A57729F64AE</vt:lpwstr>
  </property>
</Properties>
</file>