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全市收" sheetId="1" r:id="rId1"/>
    <sheet name="全市支" sheetId="2" r:id="rId2"/>
    <sheet name="市级收" sheetId="3" r:id="rId3"/>
    <sheet name="市级支" sheetId="4" r:id="rId4"/>
    <sheet name="分级收入" sheetId="5" r:id="rId5"/>
    <sheet name="分级支出" sheetId="6" r:id="rId6"/>
    <sheet name="构成 " sheetId="7" r:id="rId7"/>
    <sheet name="全市基金" sheetId="8" r:id="rId8"/>
    <sheet name="国有资本" sheetId="9" r:id="rId9"/>
    <sheet name="社会保险" sheetId="10" r:id="rId10"/>
    <sheet name="企业" sheetId="11" r:id="rId11"/>
    <sheet name="Sheet1" sheetId="12" r:id="rId12"/>
    <sheet name="Sheet2" sheetId="13" r:id="rId13"/>
  </sheets>
  <externalReferences>
    <externalReference r:id="rId16"/>
  </externalReferences>
  <definedNames>
    <definedName name="_xlnm._FilterDatabase" localSheetId="5" hidden="1">'分级支出'!$A$7:$I$37</definedName>
    <definedName name="_xlnm._FilterDatabase" localSheetId="1" hidden="1">'全市支'!$A$5:$I$41</definedName>
    <definedName name="_xlnm._FilterDatabase" localSheetId="3" hidden="1">'市级支'!$A$5:$I$41</definedName>
    <definedName name="_xlnm.Print_Area" localSheetId="4">'分级收入'!$A$1:$M$37</definedName>
    <definedName name="_xlnm.Print_Area" localSheetId="5">'分级支出'!$A$1:$I$37</definedName>
    <definedName name="_xlnm.Print_Area" localSheetId="6">'构成 '!$A$1:$I$38</definedName>
    <definedName name="_xlnm.Print_Area" localSheetId="8">'国有资本'!$A$1:$I$17</definedName>
    <definedName name="_xlnm.Print_Area" localSheetId="10">'企业'!$A$1:$F$36</definedName>
    <definedName name="_xlnm.Print_Area" localSheetId="7">'全市基金'!$A$1:$J$33</definedName>
    <definedName name="_xlnm.Print_Area" localSheetId="0">'全市收'!$A$1:$I$47</definedName>
    <definedName name="_xlnm.Print_Area" localSheetId="1">'全市支'!$A$1:$I$41</definedName>
    <definedName name="_xlnm.Print_Area" localSheetId="9">'社会保险'!$A$1:$I$19</definedName>
    <definedName name="_xlnm.Print_Area" localSheetId="2">'市级收'!$A$1:$I$39</definedName>
    <definedName name="_xlnm.Print_Area" localSheetId="3">'市级支'!$A$1:$I$41</definedName>
    <definedName name="_xlnm.Print_Titles" localSheetId="11">'Sheet1'!$1:$2</definedName>
    <definedName name="_xlnm.Print_Titles" localSheetId="12">'Sheet2'!$1:$1</definedName>
    <definedName name="_xlnm.Print_Titles" localSheetId="4">'分级收入'!$1:$4</definedName>
    <definedName name="_xlnm.Print_Titles" localSheetId="5">'分级支出'!$1:$4</definedName>
    <definedName name="_xlnm.Print_Titles" localSheetId="6">'构成 '!$1:$5</definedName>
    <definedName name="_xlnm.Print_Titles" localSheetId="7">'全市基金'!$1:$4</definedName>
    <definedName name="_xlnm.Print_Titles" localSheetId="0">'全市收'!$1:$4</definedName>
    <definedName name="_xlnm.Print_Titles" localSheetId="1">'全市支'!$1:$4</definedName>
    <definedName name="_xlnm.Print_Titles" localSheetId="2">'市级收'!$1:$4</definedName>
    <definedName name="_xlnm.Print_Titles" localSheetId="3">'市级支'!$1:$4</definedName>
    <definedName name="_xlnm.Print_Titles" hidden="1">#N/A</definedName>
    <definedName name="全国收入累计">#N/A</definedName>
  </definedNames>
  <calcPr fullCalcOnLoad="1"/>
</workbook>
</file>

<file path=xl/sharedStrings.xml><?xml version="1.0" encoding="utf-8"?>
<sst xmlns="http://schemas.openxmlformats.org/spreadsheetml/2006/main" count="519" uniqueCount="274">
  <si>
    <t>表一</t>
  </si>
  <si>
    <t>单位：万元</t>
  </si>
  <si>
    <t>项　　目</t>
  </si>
  <si>
    <t>预算数</t>
  </si>
  <si>
    <t>本月
完成
数额</t>
  </si>
  <si>
    <t>累计
完成</t>
  </si>
  <si>
    <t>去年
同期
完成</t>
  </si>
  <si>
    <t>累计完成</t>
  </si>
  <si>
    <t>同比
增量</t>
  </si>
  <si>
    <t>上月累计
完成</t>
  </si>
  <si>
    <t>本月累计</t>
  </si>
  <si>
    <t>去年同期</t>
  </si>
  <si>
    <t>为预算%</t>
  </si>
  <si>
    <t>比去年
同期%</t>
  </si>
  <si>
    <t>乡镇</t>
  </si>
  <si>
    <t>市本级</t>
  </si>
  <si>
    <t>财政总收入</t>
  </si>
  <si>
    <t>——</t>
  </si>
  <si>
    <t>税收收入</t>
  </si>
  <si>
    <t>一、国税收入</t>
  </si>
  <si>
    <t>1、增值税</t>
  </si>
  <si>
    <t>2、企业所得税</t>
  </si>
  <si>
    <t>3、个人利息所得税</t>
  </si>
  <si>
    <t>二、地税收入</t>
  </si>
  <si>
    <t>（一）正常工商税</t>
  </si>
  <si>
    <t>1、营业税</t>
  </si>
  <si>
    <t>3、个人所得税</t>
  </si>
  <si>
    <t>4、资源税</t>
  </si>
  <si>
    <t>5、城市维护税</t>
  </si>
  <si>
    <t>6、房产税</t>
  </si>
  <si>
    <t>7、印花税</t>
  </si>
  <si>
    <t>8、城镇土地使用税</t>
  </si>
  <si>
    <t>9、土地增值税</t>
  </si>
  <si>
    <t>10、车船税</t>
  </si>
  <si>
    <t>（二）烟叶税</t>
  </si>
  <si>
    <t>（三）农税收入</t>
  </si>
  <si>
    <t>1、耕地占用税</t>
  </si>
  <si>
    <t>2、契税</t>
  </si>
  <si>
    <t>三、非税收入</t>
  </si>
  <si>
    <t>1、专项收入</t>
  </si>
  <si>
    <t>2、行政性收费收入</t>
  </si>
  <si>
    <t>3、罚没收入</t>
  </si>
  <si>
    <t>4、国有资源有偿使用</t>
  </si>
  <si>
    <t>5、政府住房基金收入</t>
  </si>
  <si>
    <t>6、其他收入</t>
  </si>
  <si>
    <t>其中：增值税中央级收入</t>
  </si>
  <si>
    <t xml:space="preserve"> 　　 消费税</t>
  </si>
  <si>
    <t>工业企业全口径税收</t>
  </si>
  <si>
    <t>　其中：地方级税收</t>
  </si>
  <si>
    <t xml:space="preserve">        中央级税收</t>
  </si>
  <si>
    <t>合计</t>
  </si>
  <si>
    <t>中央级</t>
  </si>
  <si>
    <t>地方级</t>
  </si>
  <si>
    <t>表二</t>
  </si>
  <si>
    <t>追加
预算数</t>
  </si>
  <si>
    <t>本月完
成数额</t>
  </si>
  <si>
    <t>累计
完成</t>
  </si>
  <si>
    <t>上月累计
完成</t>
  </si>
  <si>
    <t>本年</t>
  </si>
  <si>
    <t>营改增后年初预算数</t>
  </si>
  <si>
    <t>为预
算%</t>
  </si>
  <si>
    <t>序时进度</t>
  </si>
  <si>
    <t>20、债务付息支出</t>
  </si>
  <si>
    <t>表三</t>
  </si>
  <si>
    <t>5、政府住房基金收入</t>
  </si>
  <si>
    <t>6、其他收入</t>
  </si>
  <si>
    <t>表四</t>
  </si>
  <si>
    <t>表五</t>
  </si>
  <si>
    <t>项目</t>
  </si>
  <si>
    <t>累计完成数</t>
  </si>
  <si>
    <t>上月累计完成</t>
  </si>
  <si>
    <t>其中：
税收
收入</t>
  </si>
  <si>
    <t>其中:
税收
收入</t>
  </si>
  <si>
    <t>比去
年同期
%</t>
  </si>
  <si>
    <t>非税</t>
  </si>
  <si>
    <t>全市合计</t>
  </si>
  <si>
    <t>乡镇小计</t>
  </si>
  <si>
    <t>花洲</t>
  </si>
  <si>
    <t>古城</t>
  </si>
  <si>
    <t>湍河</t>
  </si>
  <si>
    <t>龙堰</t>
  </si>
  <si>
    <t>张楼</t>
  </si>
  <si>
    <t>白牛</t>
  </si>
  <si>
    <t>穰东</t>
  </si>
  <si>
    <t>夏集</t>
  </si>
  <si>
    <t>裴营</t>
  </si>
  <si>
    <t>赵集</t>
  </si>
  <si>
    <t>罗庄</t>
  </si>
  <si>
    <t>十林</t>
  </si>
  <si>
    <t>张村</t>
  </si>
  <si>
    <t>文渠</t>
  </si>
  <si>
    <t>九龙</t>
  </si>
  <si>
    <t>高集</t>
  </si>
  <si>
    <t>彭桥</t>
  </si>
  <si>
    <t>杏山</t>
  </si>
  <si>
    <t>陶营</t>
  </si>
  <si>
    <t>林扒</t>
  </si>
  <si>
    <t>孟楼</t>
  </si>
  <si>
    <t>都司</t>
  </si>
  <si>
    <t>构林</t>
  </si>
  <si>
    <t>刘集</t>
  </si>
  <si>
    <t>杨营</t>
  </si>
  <si>
    <t>桑庄</t>
  </si>
  <si>
    <t>腰店</t>
  </si>
  <si>
    <t>汲滩</t>
  </si>
  <si>
    <t>表六</t>
  </si>
  <si>
    <t>城乡统筹实验区</t>
  </si>
  <si>
    <t>表七</t>
  </si>
  <si>
    <t>名称</t>
  </si>
  <si>
    <t>止本月一般公共预算收入完成</t>
  </si>
  <si>
    <t>比去年
同期
±%</t>
  </si>
  <si>
    <t>税收</t>
  </si>
  <si>
    <t>非税</t>
  </si>
  <si>
    <t>税收
收入</t>
  </si>
  <si>
    <t>占一般公共预算收入%</t>
  </si>
  <si>
    <t>非税
收入</t>
  </si>
  <si>
    <t>上年收入</t>
  </si>
  <si>
    <t>税收</t>
  </si>
  <si>
    <t>产业集聚区</t>
  </si>
  <si>
    <t>湍北实验区</t>
  </si>
  <si>
    <t>表八</t>
  </si>
  <si>
    <t>政府性基金收入</t>
  </si>
  <si>
    <t>1、新型墙体材料基金</t>
  </si>
  <si>
    <t>2、城镇公用事业附加收入</t>
  </si>
  <si>
    <t>4、国有土地收益金收入</t>
  </si>
  <si>
    <t>5、农业土地开发资金收入</t>
  </si>
  <si>
    <t>6、城市基础设施配套收入</t>
  </si>
  <si>
    <t>7、污水处理费收入</t>
  </si>
  <si>
    <t>8、政府住房基金收入</t>
  </si>
  <si>
    <t>8、散装水泥专项资金收入</t>
  </si>
  <si>
    <t>政府性基金支出</t>
  </si>
  <si>
    <t>1、文化体育与传媒</t>
  </si>
  <si>
    <t>2、社会保障和就业</t>
  </si>
  <si>
    <t>3、城乡社区事务</t>
  </si>
  <si>
    <t>4、农林水事务</t>
  </si>
  <si>
    <t>6、资源勘探电力信息事务</t>
  </si>
  <si>
    <t>8、其他支出（彩票事务）</t>
  </si>
  <si>
    <t>表九</t>
  </si>
  <si>
    <t xml:space="preserve">     国有企业资本金注入</t>
  </si>
  <si>
    <t xml:space="preserve">     国有企业政策性补贴</t>
  </si>
  <si>
    <t>表十</t>
  </si>
  <si>
    <t>表十一</t>
  </si>
  <si>
    <t>企业名称</t>
  </si>
  <si>
    <t>本月
完成</t>
  </si>
  <si>
    <t>去年
同期</t>
  </si>
  <si>
    <t>增长
%</t>
  </si>
  <si>
    <t>总量
排序</t>
  </si>
  <si>
    <t>合　计</t>
  </si>
  <si>
    <t>邓州中联水泥有限公司</t>
  </si>
  <si>
    <t>国网河南邓州市供电公司</t>
  </si>
  <si>
    <t>邓州市自来水公司</t>
  </si>
  <si>
    <t>阳光油脂（南阳）植物蛋白有限公司</t>
  </si>
  <si>
    <t>邓州市圣新源纺织品有限公司</t>
  </si>
  <si>
    <t>河南雪阳坯衫股份有限公司</t>
  </si>
  <si>
    <t>大唐邓州生物质能热电有限责任公司</t>
  </si>
  <si>
    <t>天昌国际烟草有限公司南阳复烤厂</t>
  </si>
  <si>
    <t>南阳裕祥纺织有限公司</t>
  </si>
  <si>
    <t>北京天衡药物研究院南阳天衡制药厂</t>
  </si>
  <si>
    <t>邓州市宏腾服饰有限公司</t>
  </si>
  <si>
    <t>邓州市华鑫纸业有限公司</t>
  </si>
  <si>
    <t>邓州市永泰棉纺股份有限公司</t>
  </si>
  <si>
    <t>金星集团南阳啤酒有限公司</t>
  </si>
  <si>
    <t>邓州市绿鑫源包装印刷有限公司</t>
  </si>
  <si>
    <t>邓州市三达水务有限公司</t>
  </si>
  <si>
    <t>河南北方星光机电有限责任公司</t>
  </si>
  <si>
    <t>邓州市益嘉地板有限责任公司</t>
  </si>
  <si>
    <t>邓州市鹏展服饰有限公司</t>
  </si>
  <si>
    <t>邓州市宝源新型建材有限公司</t>
  </si>
  <si>
    <t>邓州市新艺木业有限责任公司</t>
  </si>
  <si>
    <t>河南六和饲料有限公司邓州分公司</t>
  </si>
  <si>
    <t>邓州星光实业有限公司</t>
  </si>
  <si>
    <t>邓州市龙奕机械设备有限公司</t>
  </si>
  <si>
    <t>邓州市安泰混凝土有限公司</t>
  </si>
  <si>
    <t>邓州市富鹏新型建材有限公司</t>
  </si>
  <si>
    <t>河南益嘉林业发展有限公司</t>
  </si>
  <si>
    <t>邓州市恒安混凝土有限公司</t>
  </si>
  <si>
    <t>河南星光机械制造有限公司</t>
  </si>
  <si>
    <t>邓州星光机械装备有限公司</t>
  </si>
  <si>
    <t>正常工商税收</t>
  </si>
  <si>
    <t>正常工商税收占税收收入的比重</t>
  </si>
  <si>
    <t>工业企业全口径入库税收</t>
  </si>
  <si>
    <t>地方级税收占正常工商税的比重</t>
  </si>
  <si>
    <t>下边一行就是需复制到WORD文字说明中的内容</t>
  </si>
  <si>
    <r>
      <t xml:space="preserve">收入
结构
</t>
    </r>
    <r>
      <rPr>
        <b/>
        <sz val="13"/>
        <color indexed="8"/>
        <rFont val="Times New Roman"/>
        <family val="1"/>
      </rPr>
      <t>%</t>
    </r>
  </si>
  <si>
    <t>预算调整数</t>
  </si>
  <si>
    <t>一般公共预算收入</t>
  </si>
  <si>
    <t xml:space="preserve">   其中：营改增</t>
  </si>
  <si>
    <t>11、代征增值税</t>
  </si>
  <si>
    <t>其中：教育费附加</t>
  </si>
  <si>
    <t xml:space="preserve">      地方教育附加</t>
  </si>
  <si>
    <t xml:space="preserve">      教育资金收入</t>
  </si>
  <si>
    <t xml:space="preserve">      农田水利建设资金</t>
  </si>
  <si>
    <r>
      <t>(1)</t>
    </r>
    <r>
      <rPr>
        <b/>
        <sz val="13"/>
        <color indexed="8"/>
        <rFont val="黑体"/>
        <family val="0"/>
      </rPr>
      <t>国税部门中央级收入</t>
    </r>
  </si>
  <si>
    <r>
      <t>(2)</t>
    </r>
    <r>
      <rPr>
        <b/>
        <sz val="12"/>
        <color indexed="8"/>
        <rFont val="黑体"/>
        <family val="0"/>
      </rPr>
      <t>地税部门中央级收入</t>
    </r>
  </si>
  <si>
    <t>截止目前预算调整数</t>
  </si>
  <si>
    <t>一般公共预算支出合计</t>
  </si>
  <si>
    <t>1、一般公共服务支出</t>
  </si>
  <si>
    <t>2、国防支出</t>
  </si>
  <si>
    <t>3、公共安全支出</t>
  </si>
  <si>
    <t>4、教育支出</t>
  </si>
  <si>
    <t xml:space="preserve">   其中：普通教育</t>
  </si>
  <si>
    <t xml:space="preserve">         职业教育</t>
  </si>
  <si>
    <t xml:space="preserve">         教育费附加</t>
  </si>
  <si>
    <t>5、科学技术支出</t>
  </si>
  <si>
    <t>6、文化体育与传媒支出</t>
  </si>
  <si>
    <t>7、社会保障和就业支出</t>
  </si>
  <si>
    <t xml:space="preserve">   其中：行政事业单位离退休</t>
  </si>
  <si>
    <t xml:space="preserve">       就业补助</t>
  </si>
  <si>
    <t xml:space="preserve">       最低生活保障</t>
  </si>
  <si>
    <t xml:space="preserve">        财政对基本养老保险
        基金补助</t>
  </si>
  <si>
    <t>8、医疗卫生与计划生育支出</t>
  </si>
  <si>
    <t xml:space="preserve">  其中：公共卫生</t>
  </si>
  <si>
    <t xml:space="preserve">        财政对基本医疗保险
        基金补助</t>
  </si>
  <si>
    <t>9、节能环保支出</t>
  </si>
  <si>
    <t xml:space="preserve">  其中：污染防治</t>
  </si>
  <si>
    <t xml:space="preserve">       能源节约利用</t>
  </si>
  <si>
    <t>10、城乡社区支出</t>
  </si>
  <si>
    <t>11、农林水支出</t>
  </si>
  <si>
    <t xml:space="preserve">    其中：农业</t>
  </si>
  <si>
    <t xml:space="preserve">          林业</t>
  </si>
  <si>
    <t xml:space="preserve">          水利</t>
  </si>
  <si>
    <t xml:space="preserve">          扶贫</t>
  </si>
  <si>
    <t xml:space="preserve">          农业综合开发</t>
  </si>
  <si>
    <t xml:space="preserve">          农村综合改革</t>
  </si>
  <si>
    <t>12、交通运输支出</t>
  </si>
  <si>
    <t>13、资源勘探信息等支出</t>
  </si>
  <si>
    <t>14、商业服务等支出</t>
  </si>
  <si>
    <t>15、金融支出</t>
  </si>
  <si>
    <t>16、国土海洋气象等支出</t>
  </si>
  <si>
    <t>17、住房保障支出</t>
  </si>
  <si>
    <t>18、粮油物资储备支出</t>
  </si>
  <si>
    <t>19、其他支出</t>
  </si>
  <si>
    <r>
      <t xml:space="preserve">为目标
任务
</t>
    </r>
    <r>
      <rPr>
        <b/>
        <sz val="12"/>
        <color indexed="8"/>
        <rFont val="Times New Roman"/>
        <family val="1"/>
      </rPr>
      <t>%</t>
    </r>
  </si>
  <si>
    <r>
      <t>其中</t>
    </r>
    <r>
      <rPr>
        <b/>
        <sz val="11"/>
        <color indexed="8"/>
        <rFont val="Times New Roman"/>
        <family val="1"/>
      </rPr>
      <t>:</t>
    </r>
    <r>
      <rPr>
        <b/>
        <sz val="11"/>
        <color indexed="8"/>
        <rFont val="黑体"/>
        <family val="0"/>
      </rPr>
      <t xml:space="preserve">
税收
收入</t>
    </r>
    <r>
      <rPr>
        <b/>
        <sz val="11"/>
        <color indexed="8"/>
        <rFont val="Times New Roman"/>
        <family val="1"/>
      </rPr>
      <t>%</t>
    </r>
  </si>
  <si>
    <t>产业集聚区</t>
  </si>
  <si>
    <t>城乡统筹实验区</t>
  </si>
  <si>
    <r>
      <t xml:space="preserve">
结构
</t>
    </r>
    <r>
      <rPr>
        <b/>
        <sz val="13"/>
        <color indexed="8"/>
        <rFont val="Times New Roman"/>
        <family val="1"/>
      </rPr>
      <t>%</t>
    </r>
  </si>
  <si>
    <t>追加预算数</t>
  </si>
  <si>
    <r>
      <t>3</t>
    </r>
    <r>
      <rPr>
        <b/>
        <sz val="10"/>
        <color indexed="8"/>
        <rFont val="黑体"/>
        <family val="0"/>
      </rPr>
      <t>、国有土地使用权出让金收入</t>
    </r>
  </si>
  <si>
    <t>9、其他政府性基金收入</t>
  </si>
  <si>
    <t>其中：国有土地使用权出让</t>
  </si>
  <si>
    <t xml:space="preserve">       新增建设用地土地有偿使用费</t>
  </si>
  <si>
    <t xml:space="preserve">     城市基础设施配套费</t>
  </si>
  <si>
    <t xml:space="preserve">     国有土地收益基金</t>
  </si>
  <si>
    <t xml:space="preserve">     农业土地开发资金</t>
  </si>
  <si>
    <t xml:space="preserve">     政府住房基金</t>
  </si>
  <si>
    <t xml:space="preserve">     城市公用事业附加</t>
  </si>
  <si>
    <t>5、交通运输支出</t>
  </si>
  <si>
    <t xml:space="preserve">  其中：新型墙体材料专项基金支出</t>
  </si>
  <si>
    <t>7、商业服务业等支出</t>
  </si>
  <si>
    <t>调整预算数</t>
  </si>
  <si>
    <t>国有资本经营预算收入</t>
  </si>
  <si>
    <t>其中：利润收入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</si>
  <si>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</si>
  <si>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</si>
  <si>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</si>
  <si>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</t>
  </si>
  <si>
    <t>国有资本经营预算支出</t>
  </si>
  <si>
    <t>其中：解决历史遗留问题及
      改革成本支出</t>
  </si>
  <si>
    <t xml:space="preserve">     金融国有资本经营
     预算支出</t>
  </si>
  <si>
    <t xml:space="preserve">     其他国有资本经营
     预算支出</t>
  </si>
  <si>
    <t>上月完成数</t>
  </si>
  <si>
    <t>社会保险基金预算收入</t>
  </si>
  <si>
    <t>其中：①企业职工基本养老保
        险基金</t>
  </si>
  <si>
    <t xml:space="preserve">        　*保险缴费收入</t>
  </si>
  <si>
    <t xml:space="preserve">     ②失业保险基金</t>
  </si>
  <si>
    <t>　        *保险缴费收入</t>
  </si>
  <si>
    <t xml:space="preserve">     ③城镇职工基本医疗和
       生育保险基金</t>
  </si>
  <si>
    <t xml:space="preserve">     ④工伤保险基金</t>
  </si>
  <si>
    <t>社会保险基金预算支出</t>
  </si>
  <si>
    <t>其中：①企业职工基本养老保
　　　  险基金</t>
  </si>
  <si>
    <t xml:space="preserve">      ②失业保险基金</t>
  </si>
  <si>
    <t xml:space="preserve">      ③城镇职工基本医疗和
        生育保险基金</t>
  </si>
  <si>
    <t xml:space="preserve">      ④工伤保险基金</t>
  </si>
</sst>
</file>

<file path=xl/styles.xml><?xml version="1.0" encoding="utf-8"?>
<styleSheet xmlns="http://schemas.openxmlformats.org/spreadsheetml/2006/main">
  <numFmts count="7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  <numFmt numFmtId="187" formatCode="0_);[Red]\(0\)"/>
    <numFmt numFmtId="188" formatCode="0.0"/>
    <numFmt numFmtId="189" formatCode="0.0_);[Red]\(0.0\)"/>
    <numFmt numFmtId="190" formatCode="0_);\(0\)"/>
    <numFmt numFmtId="191" formatCode="0.0_);\(0.0\)"/>
    <numFmt numFmtId="192" formatCode="#,##0.0_);[Red]\(#,##0.0\)"/>
    <numFmt numFmtId="193" formatCode="#,##0.0_ "/>
    <numFmt numFmtId="194" formatCode="_ &quot;?&quot;* #,##0.00_ ;_ &quot;?&quot;* \-#,##0.00_ ;_ &quot;?&quot;* &quot;-&quot;??_ ;_ @_ "/>
    <numFmt numFmtId="195" formatCode="_ &quot;?&quot;* #,##0_ ;_ &quot;?&quot;* \-#,##0_ ;_ &quot;?&quot;* &quot;-&quot;_ ;_ @_ "/>
    <numFmt numFmtId="196" formatCode="0.00_);[Red]\(0.00\)"/>
    <numFmt numFmtId="197" formatCode="0.0%"/>
    <numFmt numFmtId="198" formatCode="0_ ;[Red]\-0\ "/>
    <numFmt numFmtId="199" formatCode="0.0000_ "/>
    <numFmt numFmtId="200" formatCode="0.0000_);[Red]\(0.0000\)"/>
    <numFmt numFmtId="201" formatCode="0.000000"/>
    <numFmt numFmtId="202" formatCode="0.00000"/>
    <numFmt numFmtId="203" formatCode="0.0000"/>
    <numFmt numFmtId="204" formatCode="0.000"/>
    <numFmt numFmtId="205" formatCode="mmm/yyyy"/>
    <numFmt numFmtId="206" formatCode="0.000_ "/>
    <numFmt numFmtId="207" formatCode="0.0_ ;[Red]\-0.0\ "/>
    <numFmt numFmtId="208" formatCode="0.00000000000000_);[Red]\(0.00000000000000\)"/>
    <numFmt numFmtId="209" formatCode="0.0000000000000_);[Red]\(0.0000000000000\)"/>
    <numFmt numFmtId="210" formatCode="0.000000000000_);[Red]\(0.000000000000\)"/>
    <numFmt numFmtId="211" formatCode="0.00000000000_);[Red]\(0.00000000000\)"/>
    <numFmt numFmtId="212" formatCode="0.0000000000_);[Red]\(0.0000000000\)"/>
    <numFmt numFmtId="213" formatCode="0.000000000_);[Red]\(0.000000000\)"/>
    <numFmt numFmtId="214" formatCode="0.00000000_);[Red]\(0.00000000\)"/>
    <numFmt numFmtId="215" formatCode="0.0000000_);[Red]\(0.0000000\)"/>
    <numFmt numFmtId="216" formatCode="0.000000_);[Red]\(0.000000\)"/>
    <numFmt numFmtId="217" formatCode="0.00000_);[Red]\(0.00000\)"/>
    <numFmt numFmtId="218" formatCode="0.000_);[Red]\(0.000\)"/>
    <numFmt numFmtId="219" formatCode="&quot;是&quot;;&quot;是&quot;;&quot;否&quot;"/>
    <numFmt numFmtId="220" formatCode="&quot;真&quot;;&quot;真&quot;;&quot;假&quot;"/>
    <numFmt numFmtId="221" formatCode="&quot;开&quot;;&quot;开&quot;;&quot;关&quot;"/>
    <numFmt numFmtId="222" formatCode="#,##0_ "/>
    <numFmt numFmtId="223" formatCode="#,##0.0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yyyy&quot;年&quot;m&quot;月&quot;;@"/>
    <numFmt numFmtId="229" formatCode="0;_㠀"/>
    <numFmt numFmtId="230" formatCode="0;_堀"/>
    <numFmt numFmtId="231" formatCode="0;_�"/>
    <numFmt numFmtId="232" formatCode="0.00_ ;[Red]\-0.00\ "/>
    <numFmt numFmtId="233" formatCode="0;_䐀"/>
    <numFmt numFmtId="234" formatCode="#,##0.00_);[Red]\(#,##0.00\)"/>
    <numFmt numFmtId="235" formatCode="0;_Ѐ"/>
    <numFmt numFmtId="236" formatCode="0.0;[Red]0.0"/>
  </numFmts>
  <fonts count="93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3.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3.2"/>
      <color indexed="36"/>
      <name val="宋体"/>
      <family val="0"/>
    </font>
    <font>
      <b/>
      <sz val="18"/>
      <color indexed="8"/>
      <name val="黑体"/>
      <family val="0"/>
    </font>
    <font>
      <b/>
      <sz val="9"/>
      <color indexed="8"/>
      <name val="黑体"/>
      <family val="0"/>
    </font>
    <font>
      <b/>
      <sz val="14"/>
      <color indexed="8"/>
      <name val="黑体"/>
      <family val="0"/>
    </font>
    <font>
      <b/>
      <sz val="11"/>
      <color indexed="8"/>
      <name val="黑体"/>
      <family val="0"/>
    </font>
    <font>
      <b/>
      <sz val="13"/>
      <color indexed="8"/>
      <name val="黑体"/>
      <family val="0"/>
    </font>
    <font>
      <b/>
      <sz val="13"/>
      <color indexed="8"/>
      <name val="Times New Roman"/>
      <family val="1"/>
    </font>
    <font>
      <b/>
      <sz val="10"/>
      <color indexed="8"/>
      <name val="黑体"/>
      <family val="0"/>
    </font>
    <font>
      <b/>
      <sz val="9"/>
      <color indexed="10"/>
      <name val="黑体"/>
      <family val="0"/>
    </font>
    <font>
      <b/>
      <sz val="8"/>
      <color indexed="8"/>
      <name val="黑体"/>
      <family val="0"/>
    </font>
    <font>
      <sz val="13"/>
      <name val="黑体"/>
      <family val="0"/>
    </font>
    <font>
      <sz val="9"/>
      <color indexed="10"/>
      <name val="黑体"/>
      <family val="0"/>
    </font>
    <font>
      <b/>
      <sz val="12"/>
      <color indexed="10"/>
      <name val="Times New Roman"/>
      <family val="1"/>
    </font>
    <font>
      <b/>
      <sz val="13"/>
      <name val="黑体"/>
      <family val="0"/>
    </font>
    <font>
      <b/>
      <sz val="8"/>
      <color indexed="10"/>
      <name val="黑体"/>
      <family val="0"/>
    </font>
    <font>
      <sz val="12"/>
      <color indexed="12"/>
      <name val="黑体"/>
      <family val="0"/>
    </font>
    <font>
      <b/>
      <sz val="12"/>
      <color indexed="8"/>
      <name val="黑体"/>
      <family val="0"/>
    </font>
    <font>
      <b/>
      <sz val="9"/>
      <name val="黑体"/>
      <family val="0"/>
    </font>
    <font>
      <b/>
      <sz val="10.5"/>
      <color indexed="8"/>
      <name val="黑体"/>
      <family val="0"/>
    </font>
    <font>
      <sz val="12"/>
      <color indexed="10"/>
      <name val="黑体"/>
      <family val="0"/>
    </font>
    <font>
      <b/>
      <sz val="13"/>
      <color indexed="10"/>
      <name val="黑体"/>
      <family val="0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13"/>
      <color indexed="8"/>
      <name val="宋体"/>
      <family val="0"/>
    </font>
    <font>
      <b/>
      <sz val="7.5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12"/>
      <name val="宋体"/>
      <family val="0"/>
    </font>
    <font>
      <b/>
      <sz val="10"/>
      <color indexed="8"/>
      <name val="方正姚体"/>
      <family val="0"/>
    </font>
    <font>
      <b/>
      <sz val="13"/>
      <color indexed="8"/>
      <name val="方正姚体"/>
      <family val="0"/>
    </font>
    <font>
      <b/>
      <sz val="13"/>
      <name val="方正姚体"/>
      <family val="0"/>
    </font>
    <font>
      <b/>
      <sz val="12"/>
      <color indexed="12"/>
      <name val="黑体"/>
      <family val="0"/>
    </font>
    <font>
      <b/>
      <sz val="13"/>
      <color indexed="12"/>
      <name val="黑体"/>
      <family val="0"/>
    </font>
    <font>
      <b/>
      <sz val="13"/>
      <color indexed="12"/>
      <name val="方正姚体"/>
      <family val="0"/>
    </font>
    <font>
      <b/>
      <sz val="8"/>
      <color indexed="12"/>
      <name val="黑体"/>
      <family val="0"/>
    </font>
    <font>
      <b/>
      <sz val="11"/>
      <color indexed="12"/>
      <name val="黑体"/>
      <family val="0"/>
    </font>
    <font>
      <b/>
      <sz val="10"/>
      <color indexed="12"/>
      <name val="黑体"/>
      <family val="0"/>
    </font>
    <font>
      <b/>
      <sz val="7.5"/>
      <color indexed="8"/>
      <name val="黑体"/>
      <family val="0"/>
    </font>
    <font>
      <b/>
      <sz val="11"/>
      <color indexed="8"/>
      <name val="方正姚体"/>
      <family val="0"/>
    </font>
    <font>
      <b/>
      <sz val="11"/>
      <color indexed="12"/>
      <name val="方正姚体"/>
      <family val="0"/>
    </font>
    <font>
      <sz val="12"/>
      <name val="黑体"/>
      <family val="0"/>
    </font>
    <font>
      <b/>
      <sz val="11"/>
      <color indexed="8"/>
      <name val="Times New Roman"/>
      <family val="1"/>
    </font>
    <font>
      <b/>
      <sz val="12.5"/>
      <name val="方正姚体"/>
      <family val="0"/>
    </font>
    <font>
      <b/>
      <sz val="9.5"/>
      <color indexed="8"/>
      <name val="黑体"/>
      <family val="0"/>
    </font>
    <font>
      <b/>
      <sz val="9.5"/>
      <color indexed="8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3"/>
      <color indexed="8"/>
      <name val="黑体"/>
      <family val="0"/>
    </font>
    <font>
      <b/>
      <sz val="13"/>
      <color indexed="10"/>
      <name val="方正姚体"/>
      <family val="0"/>
    </font>
    <font>
      <sz val="13"/>
      <color indexed="10"/>
      <name val="黑体"/>
      <family val="0"/>
    </font>
    <font>
      <b/>
      <sz val="12.5"/>
      <color indexed="10"/>
      <name val="黑体"/>
      <family val="0"/>
    </font>
    <font>
      <b/>
      <sz val="12.5"/>
      <color indexed="8"/>
      <name val="黑体"/>
      <family val="0"/>
    </font>
    <font>
      <sz val="11"/>
      <name val="黑体"/>
      <family val="0"/>
    </font>
    <font>
      <b/>
      <sz val="19"/>
      <name val="黑体"/>
      <family val="0"/>
    </font>
    <font>
      <b/>
      <sz val="13"/>
      <name val="宋体"/>
      <family val="0"/>
    </font>
    <font>
      <b/>
      <sz val="11"/>
      <name val="黑体"/>
      <family val="0"/>
    </font>
    <font>
      <i/>
      <sz val="36"/>
      <color indexed="10"/>
      <name val="黑体"/>
      <family val="0"/>
    </font>
    <font>
      <b/>
      <sz val="14"/>
      <name val="黑体"/>
      <family val="0"/>
    </font>
    <font>
      <i/>
      <sz val="28"/>
      <color indexed="12"/>
      <name val="黑体"/>
      <family val="0"/>
    </font>
    <font>
      <sz val="14"/>
      <name val="黑体"/>
      <family val="0"/>
    </font>
    <font>
      <sz val="16"/>
      <color indexed="12"/>
      <name val="黑体"/>
      <family val="0"/>
    </font>
    <font>
      <sz val="11"/>
      <name val="宋体"/>
      <family val="0"/>
    </font>
    <font>
      <b/>
      <sz val="18"/>
      <color indexed="10"/>
      <name val="黑体"/>
      <family val="0"/>
    </font>
    <font>
      <sz val="12"/>
      <name val="方正姚体"/>
      <family val="0"/>
    </font>
    <font>
      <b/>
      <sz val="20"/>
      <color indexed="10"/>
      <name val="黑体"/>
      <family val="0"/>
    </font>
    <font>
      <sz val="20"/>
      <color indexed="12"/>
      <name val="黑体"/>
      <family val="0"/>
    </font>
    <font>
      <b/>
      <sz val="26"/>
      <color indexed="12"/>
      <name val="宋体"/>
      <family val="0"/>
    </font>
    <font>
      <sz val="20"/>
      <color indexed="10"/>
      <name val="黑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indexed="13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37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8" fillId="0" borderId="0">
      <alignment/>
      <protection/>
    </xf>
    <xf numFmtId="18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8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 locked="0"/>
    </xf>
    <xf numFmtId="187" fontId="28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186" fontId="29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189" fontId="29" fillId="0" borderId="0" xfId="0" applyNumberFormat="1" applyFont="1" applyBorder="1" applyAlignment="1" applyProtection="1">
      <alignment horizontal="center" vertical="center"/>
      <protection locked="0"/>
    </xf>
    <xf numFmtId="187" fontId="29" fillId="0" borderId="0" xfId="0" applyNumberFormat="1" applyFont="1" applyBorder="1" applyAlignment="1" applyProtection="1">
      <alignment horizontal="center" vertical="center"/>
      <protection locked="0"/>
    </xf>
    <xf numFmtId="189" fontId="30" fillId="0" borderId="10" xfId="0" applyNumberFormat="1" applyFont="1" applyBorder="1" applyAlignment="1" applyProtection="1">
      <alignment horizontal="center" vertical="center" wrapText="1"/>
      <protection locked="0"/>
    </xf>
    <xf numFmtId="186" fontId="32" fillId="0" borderId="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85" fontId="30" fillId="0" borderId="10" xfId="0" applyNumberFormat="1" applyFont="1" applyBorder="1" applyAlignment="1" applyProtection="1">
      <alignment horizontal="center" vertical="center" wrapText="1"/>
      <protection locked="0"/>
    </xf>
    <xf numFmtId="187" fontId="27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186" fontId="30" fillId="22" borderId="11" xfId="0" applyNumberFormat="1" applyFont="1" applyFill="1" applyBorder="1" applyAlignment="1" applyProtection="1">
      <alignment horizontal="right" vertical="center" shrinkToFit="1"/>
      <protection/>
    </xf>
    <xf numFmtId="186" fontId="30" fillId="22" borderId="12" xfId="0" applyNumberFormat="1" applyFont="1" applyFill="1" applyBorder="1" applyAlignment="1" applyProtection="1">
      <alignment horizontal="right" vertical="center" shrinkToFit="1"/>
      <protection/>
    </xf>
    <xf numFmtId="189" fontId="30" fillId="0" borderId="12" xfId="0" applyNumberFormat="1" applyFont="1" applyBorder="1" applyAlignment="1" applyProtection="1">
      <alignment horizontal="center" vertical="center" shrinkToFit="1"/>
      <protection locked="0"/>
    </xf>
    <xf numFmtId="185" fontId="30" fillId="22" borderId="12" xfId="0" applyNumberFormat="1" applyFont="1" applyFill="1" applyBorder="1" applyAlignment="1" applyProtection="1">
      <alignment horizontal="right" vertical="center" shrinkToFit="1"/>
      <protection/>
    </xf>
    <xf numFmtId="186" fontId="32" fillId="0" borderId="0" xfId="0" applyNumberFormat="1" applyFont="1" applyBorder="1" applyAlignment="1" applyProtection="1">
      <alignment horizontal="right" vertical="center" shrinkToFit="1"/>
      <protection/>
    </xf>
    <xf numFmtId="187" fontId="27" fillId="0" borderId="10" xfId="0" applyNumberFormat="1" applyFont="1" applyBorder="1" applyAlignment="1" applyProtection="1">
      <alignment horizontal="right" vertical="center" shrinkToFit="1"/>
      <protection locked="0"/>
    </xf>
    <xf numFmtId="0" fontId="27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 shrinkToFit="1"/>
      <protection locked="0"/>
    </xf>
    <xf numFmtId="186" fontId="30" fillId="22" borderId="13" xfId="0" applyNumberFormat="1" applyFont="1" applyFill="1" applyBorder="1" applyAlignment="1" applyProtection="1">
      <alignment horizontal="right" vertical="center" shrinkToFit="1"/>
      <protection/>
    </xf>
    <xf numFmtId="186" fontId="30" fillId="22" borderId="14" xfId="0" applyNumberFormat="1" applyFont="1" applyFill="1" applyBorder="1" applyAlignment="1" applyProtection="1">
      <alignment horizontal="right" vertical="center" shrinkToFit="1"/>
      <protection/>
    </xf>
    <xf numFmtId="186" fontId="30" fillId="3" borderId="14" xfId="0" applyNumberFormat="1" applyFont="1" applyFill="1" applyBorder="1" applyAlignment="1" applyProtection="1">
      <alignment horizontal="right" vertical="center" shrinkToFit="1"/>
      <protection/>
    </xf>
    <xf numFmtId="189" fontId="30" fillId="22" borderId="14" xfId="0" applyNumberFormat="1" applyFont="1" applyFill="1" applyBorder="1" applyAlignment="1" applyProtection="1">
      <alignment horizontal="right" vertical="center" shrinkToFit="1"/>
      <protection locked="0"/>
    </xf>
    <xf numFmtId="185" fontId="30" fillId="22" borderId="14" xfId="0" applyNumberFormat="1" applyFont="1" applyFill="1" applyBorder="1" applyAlignment="1" applyProtection="1">
      <alignment horizontal="right" vertical="center" shrinkToFit="1"/>
      <protection/>
    </xf>
    <xf numFmtId="186" fontId="34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 shrinkToFit="1"/>
      <protection locked="0"/>
    </xf>
    <xf numFmtId="186" fontId="30" fillId="22" borderId="10" xfId="0" applyNumberFormat="1" applyFont="1" applyFill="1" applyBorder="1" applyAlignment="1" applyProtection="1">
      <alignment horizontal="right" vertical="center" shrinkToFit="1"/>
      <protection/>
    </xf>
    <xf numFmtId="186" fontId="38" fillId="22" borderId="10" xfId="0" applyNumberFormat="1" applyFont="1" applyFill="1" applyBorder="1" applyAlignment="1" applyProtection="1">
      <alignment horizontal="right" vertical="center" shrinkToFit="1"/>
      <protection/>
    </xf>
    <xf numFmtId="189" fontId="30" fillId="22" borderId="10" xfId="0" applyNumberFormat="1" applyFont="1" applyFill="1" applyBorder="1" applyAlignment="1" applyProtection="1">
      <alignment horizontal="right" vertical="center" shrinkToFit="1"/>
      <protection/>
    </xf>
    <xf numFmtId="185" fontId="30" fillId="22" borderId="10" xfId="0" applyNumberFormat="1" applyFont="1" applyFill="1" applyBorder="1" applyAlignment="1" applyProtection="1">
      <alignment horizontal="right" vertical="center" shrinkToFit="1"/>
      <protection/>
    </xf>
    <xf numFmtId="0" fontId="30" fillId="0" borderId="10" xfId="0" applyFont="1" applyBorder="1" applyAlignment="1" applyProtection="1">
      <alignment vertical="center" shrinkToFit="1"/>
      <protection locked="0"/>
    </xf>
    <xf numFmtId="0" fontId="30" fillId="0" borderId="10" xfId="0" applyFont="1" applyBorder="1" applyAlignment="1" applyProtection="1">
      <alignment horizontal="left" vertical="center" indent="1" shrinkToFit="1"/>
      <protection locked="0"/>
    </xf>
    <xf numFmtId="186" fontId="30" fillId="0" borderId="10" xfId="0" applyNumberFormat="1" applyFont="1" applyBorder="1" applyAlignment="1" applyProtection="1">
      <alignment horizontal="right" vertical="center" shrinkToFit="1"/>
      <protection locked="0"/>
    </xf>
    <xf numFmtId="187" fontId="27" fillId="24" borderId="10" xfId="44" applyNumberFormat="1" applyFont="1" applyFill="1" applyBorder="1" applyAlignment="1" applyProtection="1">
      <alignment horizontal="center" vertical="center" shrinkToFit="1"/>
      <protection locked="0"/>
    </xf>
    <xf numFmtId="186" fontId="27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left" vertical="center" indent="1" shrinkToFit="1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187" fontId="33" fillId="24" borderId="10" xfId="44" applyNumberFormat="1" applyFont="1" applyFill="1" applyBorder="1" applyAlignment="1" applyProtection="1">
      <alignment horizontal="center" vertical="center" shrinkToFit="1"/>
      <protection locked="0"/>
    </xf>
    <xf numFmtId="186" fontId="33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/>
      <protection/>
    </xf>
    <xf numFmtId="186" fontId="41" fillId="22" borderId="10" xfId="0" applyNumberFormat="1" applyFont="1" applyFill="1" applyBorder="1" applyAlignment="1" applyProtection="1">
      <alignment horizontal="right" vertical="center" shrinkToFit="1"/>
      <protection/>
    </xf>
    <xf numFmtId="187" fontId="27" fillId="0" borderId="10" xfId="0" applyNumberFormat="1" applyFont="1" applyBorder="1" applyAlignment="1" applyProtection="1">
      <alignment horizontal="center" vertical="center"/>
      <protection locked="0"/>
    </xf>
    <xf numFmtId="186" fontId="30" fillId="19" borderId="10" xfId="0" applyNumberFormat="1" applyFont="1" applyFill="1" applyBorder="1" applyAlignment="1" applyProtection="1">
      <alignment horizontal="right" vertical="center" shrinkToFit="1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 shrinkToFit="1"/>
      <protection locked="0"/>
    </xf>
    <xf numFmtId="187" fontId="42" fillId="0" borderId="10" xfId="0" applyNumberFormat="1" applyFont="1" applyBorder="1" applyAlignment="1" applyProtection="1">
      <alignment horizontal="center" vertical="center"/>
      <protection locked="0"/>
    </xf>
    <xf numFmtId="187" fontId="27" fillId="0" borderId="10" xfId="0" applyNumberFormat="1" applyFont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186" fontId="30" fillId="25" borderId="10" xfId="0" applyNumberFormat="1" applyFont="1" applyFill="1" applyBorder="1" applyAlignment="1" applyProtection="1">
      <alignment horizontal="right" vertical="center" shrinkToFit="1"/>
      <protection locked="0"/>
    </xf>
    <xf numFmtId="187" fontId="33" fillId="0" borderId="10" xfId="0" applyNumberFormat="1" applyFont="1" applyBorder="1" applyAlignment="1" applyProtection="1">
      <alignment horizontal="center" vertical="center"/>
      <protection locked="0"/>
    </xf>
    <xf numFmtId="187" fontId="33" fillId="0" borderId="10" xfId="0" applyNumberFormat="1" applyFont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 applyProtection="1">
      <alignment horizontal="left" vertical="center" indent="1" shrinkToFit="1"/>
      <protection locked="0"/>
    </xf>
    <xf numFmtId="187" fontId="32" fillId="0" borderId="10" xfId="0" applyNumberFormat="1" applyFont="1" applyBorder="1" applyAlignment="1" applyProtection="1">
      <alignment horizontal="right" vertical="center" shrinkToFit="1"/>
      <protection locked="0"/>
    </xf>
    <xf numFmtId="0" fontId="30" fillId="0" borderId="11" xfId="0" applyFont="1" applyBorder="1" applyAlignment="1" applyProtection="1">
      <alignment horizontal="left" vertical="center" indent="1" shrinkToFit="1"/>
      <protection locked="0"/>
    </xf>
    <xf numFmtId="186" fontId="30" fillId="0" borderId="11" xfId="0" applyNumberFormat="1" applyFont="1" applyBorder="1" applyAlignment="1" applyProtection="1">
      <alignment horizontal="right" vertical="center" shrinkToFit="1"/>
      <protection locked="0"/>
    </xf>
    <xf numFmtId="189" fontId="30" fillId="22" borderId="11" xfId="0" applyNumberFormat="1" applyFont="1" applyFill="1" applyBorder="1" applyAlignment="1" applyProtection="1">
      <alignment horizontal="right" vertical="center" shrinkToFit="1"/>
      <protection/>
    </xf>
    <xf numFmtId="185" fontId="30" fillId="22" borderId="11" xfId="0" applyNumberFormat="1" applyFont="1" applyFill="1" applyBorder="1" applyAlignment="1" applyProtection="1">
      <alignment horizontal="right" vertical="center" shrinkToFit="1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vertical="center" shrinkToFit="1"/>
      <protection locked="0"/>
    </xf>
    <xf numFmtId="0" fontId="31" fillId="0" borderId="13" xfId="0" applyFont="1" applyBorder="1" applyAlignment="1" applyProtection="1">
      <alignment horizontal="center" vertical="center" shrinkToFit="1"/>
      <protection locked="0"/>
    </xf>
    <xf numFmtId="186" fontId="41" fillId="22" borderId="13" xfId="0" applyNumberFormat="1" applyFont="1" applyFill="1" applyBorder="1" applyAlignment="1" applyProtection="1">
      <alignment horizontal="right" vertical="center" shrinkToFit="1"/>
      <protection/>
    </xf>
    <xf numFmtId="189" fontId="30" fillId="0" borderId="13" xfId="0" applyNumberFormat="1" applyFont="1" applyBorder="1" applyAlignment="1" applyProtection="1">
      <alignment horizontal="right" vertical="center" shrinkToFit="1"/>
      <protection locked="0"/>
    </xf>
    <xf numFmtId="185" fontId="30" fillId="22" borderId="13" xfId="0" applyNumberFormat="1" applyFont="1" applyFill="1" applyBorder="1" applyAlignment="1" applyProtection="1">
      <alignment horizontal="right" vertical="center" shrinkToFit="1"/>
      <protection/>
    </xf>
    <xf numFmtId="186" fontId="45" fillId="24" borderId="10" xfId="0" applyNumberFormat="1" applyFont="1" applyFill="1" applyBorder="1" applyAlignment="1" applyProtection="1">
      <alignment horizontal="right" vertical="center" shrinkToFit="1"/>
      <protection/>
    </xf>
    <xf numFmtId="189" fontId="30" fillId="0" borderId="10" xfId="0" applyNumberFormat="1" applyFont="1" applyBorder="1" applyAlignment="1" applyProtection="1">
      <alignment horizontal="right" vertical="center" shrinkToFit="1"/>
      <protection locked="0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186" fontId="45" fillId="24" borderId="10" xfId="0" applyNumberFormat="1" applyFont="1" applyFill="1" applyBorder="1" applyAlignment="1" applyProtection="1">
      <alignment horizontal="right" vertical="center" shrinkToFit="1"/>
      <protection locked="0"/>
    </xf>
    <xf numFmtId="189" fontId="30" fillId="0" borderId="10" xfId="0" applyNumberFormat="1" applyFont="1" applyBorder="1" applyAlignment="1" applyProtection="1">
      <alignment horizontal="center" vertical="center" shrinkToFit="1"/>
      <protection locked="0"/>
    </xf>
    <xf numFmtId="186" fontId="46" fillId="22" borderId="12" xfId="0" applyNumberFormat="1" applyFont="1" applyFill="1" applyBorder="1" applyAlignment="1" applyProtection="1">
      <alignment horizontal="right" vertical="center" shrinkToFit="1"/>
      <protection/>
    </xf>
    <xf numFmtId="186" fontId="46" fillId="22" borderId="12" xfId="0" applyNumberFormat="1" applyFont="1" applyFill="1" applyBorder="1" applyAlignment="1" applyProtection="1">
      <alignment horizontal="center" vertical="center" shrinkToFit="1"/>
      <protection/>
    </xf>
    <xf numFmtId="186" fontId="41" fillId="22" borderId="12" xfId="0" applyNumberFormat="1" applyFont="1" applyFill="1" applyBorder="1" applyAlignment="1" applyProtection="1">
      <alignment horizontal="right" vertical="center" shrinkToFit="1"/>
      <protection/>
    </xf>
    <xf numFmtId="189" fontId="30" fillId="0" borderId="12" xfId="0" applyNumberFormat="1" applyFont="1" applyBorder="1" applyAlignment="1" applyProtection="1">
      <alignment horizontal="right" vertical="center" shrinkToFit="1"/>
      <protection locked="0"/>
    </xf>
    <xf numFmtId="0" fontId="28" fillId="0" borderId="13" xfId="0" applyFont="1" applyBorder="1" applyAlignment="1" applyProtection="1">
      <alignment horizontal="left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186" fontId="30" fillId="0" borderId="13" xfId="0" applyNumberFormat="1" applyFont="1" applyBorder="1" applyAlignment="1" applyProtection="1">
      <alignment horizontal="center" vertical="center" shrinkToFit="1"/>
      <protection locked="0"/>
    </xf>
    <xf numFmtId="186" fontId="30" fillId="0" borderId="13" xfId="0" applyNumberFormat="1" applyFont="1" applyBorder="1" applyAlignment="1" applyProtection="1">
      <alignment horizontal="right" vertical="center" shrinkToFit="1"/>
      <protection locked="0"/>
    </xf>
    <xf numFmtId="189" fontId="30" fillId="0" borderId="14" xfId="0" applyNumberFormat="1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186" fontId="30" fillId="0" borderId="10" xfId="0" applyNumberFormat="1" applyFont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186" fontId="47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189" fontId="47" fillId="0" borderId="0" xfId="0" applyNumberFormat="1" applyFont="1" applyBorder="1" applyAlignment="1" applyProtection="1">
      <alignment horizontal="center" vertical="center"/>
      <protection locked="0"/>
    </xf>
    <xf numFmtId="189" fontId="49" fillId="0" borderId="0" xfId="0" applyNumberFormat="1" applyFont="1" applyBorder="1" applyAlignment="1" applyProtection="1">
      <alignment horizontal="center" vertical="center"/>
      <protection locked="0"/>
    </xf>
    <xf numFmtId="185" fontId="49" fillId="0" borderId="0" xfId="0" applyNumberFormat="1" applyFont="1" applyBorder="1" applyAlignment="1" applyProtection="1">
      <alignment horizontal="center" vertical="center"/>
      <protection locked="0"/>
    </xf>
    <xf numFmtId="186" fontId="50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187" fontId="47" fillId="0" borderId="0" xfId="0" applyNumberFormat="1" applyFont="1" applyBorder="1" applyAlignment="1" applyProtection="1">
      <alignment horizontal="center" vertical="center"/>
      <protection locked="0"/>
    </xf>
    <xf numFmtId="186" fontId="52" fillId="0" borderId="10" xfId="45" applyNumberFormat="1" applyFont="1" applyFill="1" applyBorder="1" applyAlignment="1">
      <alignment horizontal="right" vertical="center"/>
      <protection/>
    </xf>
    <xf numFmtId="186" fontId="52" fillId="0" borderId="10" xfId="45" applyNumberFormat="1" applyFont="1" applyFill="1" applyBorder="1">
      <alignment vertical="center"/>
      <protection/>
    </xf>
    <xf numFmtId="0" fontId="26" fillId="0" borderId="0" xfId="0" applyFont="1" applyAlignment="1" applyProtection="1">
      <alignment horizontal="center" vertical="center"/>
      <protection locked="0"/>
    </xf>
    <xf numFmtId="186" fontId="26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186" fontId="32" fillId="0" borderId="0" xfId="0" applyNumberFormat="1" applyFont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186" fontId="34" fillId="0" borderId="0" xfId="0" applyNumberFormat="1" applyFont="1" applyAlignment="1" applyProtection="1">
      <alignment horizontal="center" vertical="center"/>
      <protection locked="0"/>
    </xf>
    <xf numFmtId="185" fontId="29" fillId="0" borderId="10" xfId="0" applyNumberFormat="1" applyFont="1" applyBorder="1" applyAlignment="1" applyProtection="1">
      <alignment horizontal="center" vertical="center" wrapText="1"/>
      <protection locked="0"/>
    </xf>
    <xf numFmtId="186" fontId="54" fillId="22" borderId="10" xfId="0" applyNumberFormat="1" applyFont="1" applyFill="1" applyBorder="1" applyAlignment="1" applyProtection="1">
      <alignment horizontal="right" vertical="center" shrinkToFit="1"/>
      <protection/>
    </xf>
    <xf numFmtId="185" fontId="54" fillId="22" borderId="10" xfId="0" applyNumberFormat="1" applyFont="1" applyFill="1" applyBorder="1" applyAlignment="1" applyProtection="1">
      <alignment horizontal="right" vertical="center" shrinkToFit="1"/>
      <protection/>
    </xf>
    <xf numFmtId="0" fontId="45" fillId="0" borderId="10" xfId="0" applyFont="1" applyBorder="1" applyAlignment="1" applyProtection="1">
      <alignment vertical="center" shrinkToFit="1"/>
      <protection locked="0"/>
    </xf>
    <xf numFmtId="186" fontId="38" fillId="0" borderId="10" xfId="0" applyNumberFormat="1" applyFont="1" applyBorder="1" applyAlignment="1" applyProtection="1">
      <alignment horizontal="right" vertical="center" shrinkToFit="1"/>
      <protection locked="0"/>
    </xf>
    <xf numFmtId="186" fontId="54" fillId="25" borderId="10" xfId="0" applyNumberFormat="1" applyFont="1" applyFill="1" applyBorder="1" applyAlignment="1" applyProtection="1">
      <alignment horizontal="right" vertical="center" shrinkToFit="1"/>
      <protection locked="0"/>
    </xf>
    <xf numFmtId="185" fontId="55" fillId="22" borderId="10" xfId="0" applyNumberFormat="1" applyFont="1" applyFill="1" applyBorder="1" applyAlignment="1" applyProtection="1">
      <alignment horizontal="right" vertical="center" shrinkToFit="1"/>
      <protection/>
    </xf>
    <xf numFmtId="0" fontId="45" fillId="11" borderId="10" xfId="0" applyFont="1" applyFill="1" applyBorder="1" applyAlignment="1" applyProtection="1">
      <alignment vertical="center" shrinkToFit="1"/>
      <protection locked="0"/>
    </xf>
    <xf numFmtId="0" fontId="56" fillId="0" borderId="10" xfId="0" applyFont="1" applyFill="1" applyBorder="1" applyAlignment="1" applyProtection="1">
      <alignment vertical="center" shrinkToFit="1"/>
      <protection locked="0"/>
    </xf>
    <xf numFmtId="186" fontId="57" fillId="0" borderId="10" xfId="0" applyNumberFormat="1" applyFont="1" applyBorder="1" applyAlignment="1" applyProtection="1">
      <alignment horizontal="right" vertical="center" shrinkToFit="1"/>
      <protection locked="0"/>
    </xf>
    <xf numFmtId="186" fontId="58" fillId="22" borderId="10" xfId="0" applyNumberFormat="1" applyFont="1" applyFill="1" applyBorder="1" applyAlignment="1" applyProtection="1">
      <alignment horizontal="right" vertical="center" shrinkToFit="1"/>
      <protection/>
    </xf>
    <xf numFmtId="186" fontId="58" fillId="25" borderId="10" xfId="0" applyNumberFormat="1" applyFont="1" applyFill="1" applyBorder="1" applyAlignment="1" applyProtection="1">
      <alignment horizontal="right" vertical="center" shrinkToFit="1"/>
      <protection locked="0"/>
    </xf>
    <xf numFmtId="185" fontId="58" fillId="22" borderId="10" xfId="0" applyNumberFormat="1" applyFont="1" applyFill="1" applyBorder="1" applyAlignment="1" applyProtection="1">
      <alignment horizontal="right" vertical="center" shrinkToFit="1"/>
      <protection/>
    </xf>
    <xf numFmtId="0" fontId="59" fillId="0" borderId="0" xfId="0" applyFont="1" applyAlignment="1" applyProtection="1">
      <alignment horizontal="center" vertical="center"/>
      <protection locked="0"/>
    </xf>
    <xf numFmtId="186" fontId="59" fillId="0" borderId="0" xfId="0" applyNumberFormat="1" applyFont="1" applyAlignment="1" applyProtection="1">
      <alignment horizontal="center" vertical="center"/>
      <protection locked="0"/>
    </xf>
    <xf numFmtId="0" fontId="30" fillId="11" borderId="10" xfId="0" applyFont="1" applyFill="1" applyBorder="1" applyAlignment="1" applyProtection="1">
      <alignment vertical="center" shrinkToFit="1"/>
      <protection locked="0"/>
    </xf>
    <xf numFmtId="0" fontId="60" fillId="0" borderId="10" xfId="0" applyFont="1" applyBorder="1" applyAlignment="1" applyProtection="1">
      <alignment vertical="center" shrinkToFit="1"/>
      <protection locked="0"/>
    </xf>
    <xf numFmtId="0" fontId="60" fillId="0" borderId="10" xfId="0" applyFont="1" applyBorder="1" applyAlignment="1" applyProtection="1">
      <alignment vertical="center"/>
      <protection locked="0"/>
    </xf>
    <xf numFmtId="0" fontId="61" fillId="0" borderId="10" xfId="0" applyFont="1" applyBorder="1" applyAlignment="1" applyProtection="1">
      <alignment vertical="center" wrapText="1" shrinkToFit="1"/>
      <protection locked="0"/>
    </xf>
    <xf numFmtId="0" fontId="56" fillId="0" borderId="10" xfId="0" applyFont="1" applyBorder="1" applyAlignment="1" applyProtection="1">
      <alignment vertical="center" shrinkToFit="1"/>
      <protection locked="0"/>
    </xf>
    <xf numFmtId="0" fontId="57" fillId="0" borderId="10" xfId="0" applyFont="1" applyBorder="1" applyAlignment="1" applyProtection="1">
      <alignment vertical="center" shrinkToFit="1"/>
      <protection locked="0"/>
    </xf>
    <xf numFmtId="186" fontId="57" fillId="24" borderId="10" xfId="0" applyNumberFormat="1" applyFont="1" applyFill="1" applyBorder="1" applyAlignment="1" applyProtection="1">
      <alignment horizontal="right" vertical="center" shrinkToFit="1"/>
      <protection locked="0"/>
    </xf>
    <xf numFmtId="186" fontId="54" fillId="0" borderId="10" xfId="0" applyNumberFormat="1" applyFont="1" applyBorder="1" applyAlignment="1" applyProtection="1">
      <alignment horizontal="right" vertical="center" shrinkToFit="1"/>
      <protection locked="0"/>
    </xf>
    <xf numFmtId="186" fontId="30" fillId="0" borderId="10" xfId="0" applyNumberFormat="1" applyFont="1" applyBorder="1" applyAlignment="1" applyProtection="1">
      <alignment vertical="center" shrinkToFi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186" fontId="62" fillId="0" borderId="0" xfId="0" applyNumberFormat="1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 indent="1" shrinkToFit="1"/>
      <protection locked="0"/>
    </xf>
    <xf numFmtId="189" fontId="62" fillId="0" borderId="0" xfId="0" applyNumberFormat="1" applyFont="1" applyAlignment="1" applyProtection="1">
      <alignment horizontal="center" vertical="center"/>
      <protection locked="0"/>
    </xf>
    <xf numFmtId="186" fontId="29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189" fontId="47" fillId="0" borderId="0" xfId="0" applyNumberFormat="1" applyFont="1" applyAlignment="1" applyProtection="1">
      <alignment horizontal="center" vertical="center"/>
      <protection locked="0"/>
    </xf>
    <xf numFmtId="186" fontId="47" fillId="0" borderId="0" xfId="0" applyNumberFormat="1" applyFont="1" applyAlignment="1" applyProtection="1">
      <alignment horizontal="center" vertical="center"/>
      <protection locked="0"/>
    </xf>
    <xf numFmtId="186" fontId="30" fillId="3" borderId="10" xfId="0" applyNumberFormat="1" applyFont="1" applyFill="1" applyBorder="1" applyAlignment="1" applyProtection="1">
      <alignment horizontal="right" vertical="center" shrinkToFit="1"/>
      <protection/>
    </xf>
    <xf numFmtId="189" fontId="30" fillId="22" borderId="10" xfId="0" applyNumberFormat="1" applyFont="1" applyFill="1" applyBorder="1" applyAlignment="1" applyProtection="1">
      <alignment horizontal="right" vertical="center" shrinkToFit="1"/>
      <protection locked="0"/>
    </xf>
    <xf numFmtId="186" fontId="41" fillId="0" borderId="10" xfId="0" applyNumberFormat="1" applyFont="1" applyBorder="1" applyAlignment="1" applyProtection="1">
      <alignment horizontal="right" vertical="center" shrinkToFit="1"/>
      <protection locked="0"/>
    </xf>
    <xf numFmtId="0" fontId="29" fillId="0" borderId="10" xfId="0" applyFont="1" applyBorder="1" applyAlignment="1" applyProtection="1">
      <alignment horizontal="left" vertical="center" indent="1"/>
      <protection locked="0"/>
    </xf>
    <xf numFmtId="186" fontId="41" fillId="0" borderId="10" xfId="0" applyNumberFormat="1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left" vertical="center" wrapText="1" inden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 locked="0"/>
    </xf>
    <xf numFmtId="0" fontId="62" fillId="0" borderId="0" xfId="0" applyFont="1" applyBorder="1" applyAlignment="1" applyProtection="1">
      <alignment horizontal="left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186" fontId="62" fillId="0" borderId="0" xfId="0" applyNumberFormat="1" applyFont="1" applyBorder="1" applyAlignment="1" applyProtection="1">
      <alignment horizontal="center" vertical="center"/>
      <protection locked="0"/>
    </xf>
    <xf numFmtId="189" fontId="62" fillId="0" borderId="0" xfId="0" applyNumberFormat="1" applyFont="1" applyBorder="1" applyAlignment="1" applyProtection="1">
      <alignment horizontal="center" vertical="center"/>
      <protection locked="0"/>
    </xf>
    <xf numFmtId="189" fontId="62" fillId="0" borderId="0" xfId="0" applyNumberFormat="1" applyFont="1" applyBorder="1" applyAlignment="1" applyProtection="1">
      <alignment horizontal="center" vertical="center" shrinkToFit="1"/>
      <protection locked="0"/>
    </xf>
    <xf numFmtId="185" fontId="62" fillId="0" borderId="0" xfId="0" applyNumberFormat="1" applyFont="1" applyBorder="1" applyAlignment="1" applyProtection="1">
      <alignment horizontal="center" vertical="center"/>
      <protection locked="0"/>
    </xf>
    <xf numFmtId="186" fontId="32" fillId="0" borderId="0" xfId="0" applyNumberFormat="1" applyFont="1" applyBorder="1" applyAlignment="1" applyProtection="1">
      <alignment horizontal="center" vertical="center"/>
      <protection locked="0"/>
    </xf>
    <xf numFmtId="187" fontId="34" fillId="0" borderId="0" xfId="0" applyNumberFormat="1" applyFont="1" applyBorder="1" applyAlignment="1" applyProtection="1">
      <alignment horizontal="center" vertical="center"/>
      <protection locked="0"/>
    </xf>
    <xf numFmtId="186" fontId="63" fillId="0" borderId="10" xfId="0" applyNumberFormat="1" applyFont="1" applyBorder="1" applyAlignment="1" applyProtection="1">
      <alignment horizontal="right" vertical="center" shrinkToFit="1"/>
      <protection locked="0"/>
    </xf>
    <xf numFmtId="186" fontId="64" fillId="0" borderId="10" xfId="0" applyNumberFormat="1" applyFont="1" applyBorder="1" applyAlignment="1" applyProtection="1">
      <alignment horizontal="right" vertical="center" shrinkToFit="1"/>
      <protection locked="0"/>
    </xf>
    <xf numFmtId="0" fontId="61" fillId="0" borderId="10" xfId="0" applyFont="1" applyBorder="1" applyAlignment="1" applyProtection="1">
      <alignment vertical="center" wrapText="1"/>
      <protection locked="0"/>
    </xf>
    <xf numFmtId="186" fontId="29" fillId="0" borderId="10" xfId="0" applyNumberFormat="1" applyFont="1" applyBorder="1" applyAlignment="1" applyProtection="1">
      <alignment vertical="center" shrinkToFi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87" fontId="29" fillId="0" borderId="0" xfId="0" applyNumberFormat="1" applyFont="1" applyAlignment="1" applyProtection="1">
      <alignment horizontal="center" vertical="center"/>
      <protection locked="0"/>
    </xf>
    <xf numFmtId="189" fontId="29" fillId="0" borderId="0" xfId="0" applyNumberFormat="1" applyFont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187" fontId="65" fillId="0" borderId="14" xfId="0" applyNumberFormat="1" applyFont="1" applyBorder="1" applyAlignment="1" applyProtection="1">
      <alignment horizontal="center" vertical="center"/>
      <protection locked="0"/>
    </xf>
    <xf numFmtId="189" fontId="41" fillId="0" borderId="10" xfId="0" applyNumberFormat="1" applyFont="1" applyBorder="1" applyAlignment="1" applyProtection="1">
      <alignment horizontal="center" vertical="center" wrapText="1"/>
      <protection locked="0"/>
    </xf>
    <xf numFmtId="187" fontId="55" fillId="22" borderId="10" xfId="0" applyNumberFormat="1" applyFont="1" applyFill="1" applyBorder="1" applyAlignment="1" applyProtection="1">
      <alignment horizontal="right" vertical="center" shrinkToFit="1"/>
      <protection/>
    </xf>
    <xf numFmtId="187" fontId="55" fillId="25" borderId="10" xfId="0" applyNumberFormat="1" applyFont="1" applyFill="1" applyBorder="1" applyAlignment="1" applyProtection="1">
      <alignment horizontal="right" vertical="center" shrinkToFit="1"/>
      <protection locked="0"/>
    </xf>
    <xf numFmtId="186" fontId="55" fillId="22" borderId="10" xfId="0" applyNumberFormat="1" applyFont="1" applyFill="1" applyBorder="1" applyAlignment="1" applyProtection="1">
      <alignment horizontal="right" vertical="center" shrinkToFit="1"/>
      <protection/>
    </xf>
    <xf numFmtId="189" fontId="54" fillId="22" borderId="10" xfId="0" applyNumberFormat="1" applyFont="1" applyFill="1" applyBorder="1" applyAlignment="1" applyProtection="1">
      <alignment vertical="center" shrinkToFit="1"/>
      <protection/>
    </xf>
    <xf numFmtId="189" fontId="54" fillId="0" borderId="10" xfId="0" applyNumberFormat="1" applyFont="1" applyBorder="1" applyAlignment="1" applyProtection="1">
      <alignment vertical="center" shrinkToFit="1"/>
      <protection locked="0"/>
    </xf>
    <xf numFmtId="185" fontId="54" fillId="22" borderId="10" xfId="0" applyNumberFormat="1" applyFont="1" applyFill="1" applyBorder="1" applyAlignment="1" applyProtection="1">
      <alignment vertical="center" shrinkToFit="1"/>
      <protection/>
    </xf>
    <xf numFmtId="187" fontId="38" fillId="22" borderId="10" xfId="0" applyNumberFormat="1" applyFont="1" applyFill="1" applyBorder="1" applyAlignment="1" applyProtection="1">
      <alignment horizontal="right" vertical="center" shrinkToFit="1"/>
      <protection/>
    </xf>
    <xf numFmtId="187" fontId="67" fillId="22" borderId="10" xfId="0" applyNumberFormat="1" applyFont="1" applyFill="1" applyBorder="1" applyAlignment="1" applyProtection="1">
      <alignment horizontal="right" vertical="center" shrinkToFit="1"/>
      <protection/>
    </xf>
    <xf numFmtId="187" fontId="34" fillId="0" borderId="0" xfId="0" applyNumberFormat="1" applyFont="1" applyAlignment="1" applyProtection="1">
      <alignment horizontal="center" vertical="center"/>
      <protection locked="0"/>
    </xf>
    <xf numFmtId="187" fontId="38" fillId="25" borderId="10" xfId="0" applyNumberFormat="1" applyFont="1" applyFill="1" applyBorder="1" applyAlignment="1" applyProtection="1">
      <alignment horizontal="right" vertical="center" shrinkToFit="1"/>
      <protection/>
    </xf>
    <xf numFmtId="187" fontId="55" fillId="25" borderId="10" xfId="0" applyNumberFormat="1" applyFont="1" applyFill="1" applyBorder="1" applyAlignment="1" applyProtection="1">
      <alignment horizontal="right" vertical="center" shrinkToFit="1"/>
      <protection/>
    </xf>
    <xf numFmtId="187" fontId="38" fillId="25" borderId="10" xfId="0" applyNumberFormat="1" applyFont="1" applyFill="1" applyBorder="1" applyAlignment="1" applyProtection="1">
      <alignment horizontal="right" vertical="center" shrinkToFit="1"/>
      <protection locked="0"/>
    </xf>
    <xf numFmtId="189" fontId="30" fillId="22" borderId="10" xfId="0" applyNumberFormat="1" applyFont="1" applyFill="1" applyBorder="1" applyAlignment="1" applyProtection="1">
      <alignment vertical="center" shrinkToFit="1"/>
      <protection/>
    </xf>
    <xf numFmtId="185" fontId="30" fillId="22" borderId="10" xfId="0" applyNumberFormat="1" applyFont="1" applyFill="1" applyBorder="1" applyAlignment="1" applyProtection="1">
      <alignment vertical="center" shrinkToFit="1"/>
      <protection/>
    </xf>
    <xf numFmtId="187" fontId="67" fillId="22" borderId="0" xfId="0" applyNumberFormat="1" applyFont="1" applyFill="1" applyBorder="1" applyAlignment="1" applyProtection="1">
      <alignment horizontal="right" vertical="center" shrinkToFit="1"/>
      <protection/>
    </xf>
    <xf numFmtId="189" fontId="30" fillId="0" borderId="10" xfId="0" applyNumberFormat="1" applyFont="1" applyBorder="1" applyAlignment="1" applyProtection="1">
      <alignment vertical="center" shrinkToFit="1"/>
      <protection locked="0"/>
    </xf>
    <xf numFmtId="187" fontId="32" fillId="0" borderId="0" xfId="0" applyNumberFormat="1" applyFont="1" applyAlignment="1" applyProtection="1">
      <alignment horizontal="center" vertical="center"/>
      <protection locked="0"/>
    </xf>
    <xf numFmtId="186" fontId="38" fillId="25" borderId="10" xfId="0" applyNumberFormat="1" applyFont="1" applyFill="1" applyBorder="1" applyAlignment="1" applyProtection="1">
      <alignment horizontal="right" vertical="center" shrinkToFit="1"/>
      <protection/>
    </xf>
    <xf numFmtId="186" fontId="38" fillId="25" borderId="10" xfId="0" applyNumberFormat="1" applyFont="1" applyFill="1" applyBorder="1" applyAlignment="1" applyProtection="1">
      <alignment horizontal="right" vertical="center" shrinkToFit="1"/>
      <protection locked="0"/>
    </xf>
    <xf numFmtId="187" fontId="62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187" fontId="47" fillId="0" borderId="0" xfId="0" applyNumberFormat="1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185" fontId="29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187" fontId="54" fillId="22" borderId="10" xfId="0" applyNumberFormat="1" applyFont="1" applyFill="1" applyBorder="1" applyAlignment="1" applyProtection="1">
      <alignment horizontal="right" vertical="center" shrinkToFit="1"/>
      <protection/>
    </xf>
    <xf numFmtId="187" fontId="30" fillId="0" borderId="0" xfId="0" applyNumberFormat="1" applyFont="1" applyAlignment="1" applyProtection="1">
      <alignment horizontal="center" vertical="center"/>
      <protection locked="0"/>
    </xf>
    <xf numFmtId="187" fontId="54" fillId="0" borderId="10" xfId="0" applyNumberFormat="1" applyFont="1" applyBorder="1" applyAlignment="1" applyProtection="1">
      <alignment horizontal="right" vertical="center" shrinkToFit="1"/>
      <protection locked="0"/>
    </xf>
    <xf numFmtId="187" fontId="54" fillId="25" borderId="10" xfId="0" applyNumberFormat="1" applyFont="1" applyFill="1" applyBorder="1" applyAlignment="1" applyProtection="1">
      <alignment horizontal="right" vertical="center" shrinkToFit="1"/>
      <protection/>
    </xf>
    <xf numFmtId="187" fontId="30" fillId="0" borderId="10" xfId="0" applyNumberFormat="1" applyFont="1" applyBorder="1" applyAlignment="1" applyProtection="1">
      <alignment horizontal="right" vertical="center" shrinkToFi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187" fontId="27" fillId="0" borderId="0" xfId="0" applyNumberFormat="1" applyFont="1" applyAlignment="1" applyProtection="1">
      <alignment horizontal="center" vertical="center"/>
      <protection locked="0"/>
    </xf>
    <xf numFmtId="185" fontId="27" fillId="0" borderId="0" xfId="0" applyNumberFormat="1" applyFont="1" applyAlignment="1" applyProtection="1">
      <alignment horizontal="center" vertical="center"/>
      <protection locked="0"/>
    </xf>
    <xf numFmtId="185" fontId="27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187" fontId="51" fillId="0" borderId="0" xfId="0" applyNumberFormat="1" applyFont="1" applyAlignment="1" applyProtection="1">
      <alignment horizontal="center" vertical="center"/>
      <protection locked="0"/>
    </xf>
    <xf numFmtId="185" fontId="51" fillId="0" borderId="0" xfId="0" applyNumberFormat="1" applyFont="1" applyAlignment="1" applyProtection="1">
      <alignment horizontal="center" vertical="center"/>
      <protection locked="0"/>
    </xf>
    <xf numFmtId="185" fontId="51" fillId="0" borderId="0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92" fontId="29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186" fontId="29" fillId="22" borderId="10" xfId="0" applyNumberFormat="1" applyFont="1" applyFill="1" applyBorder="1" applyAlignment="1" applyProtection="1">
      <alignment horizontal="right" vertical="center" shrinkToFit="1"/>
      <protection/>
    </xf>
    <xf numFmtId="0" fontId="30" fillId="0" borderId="0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vertical="center"/>
      <protection locked="0"/>
    </xf>
    <xf numFmtId="186" fontId="50" fillId="0" borderId="0" xfId="0" applyNumberFormat="1" applyFont="1" applyAlignment="1" applyProtection="1">
      <alignment vertical="center"/>
      <protection locked="0"/>
    </xf>
    <xf numFmtId="192" fontId="50" fillId="0" borderId="0" xfId="0" applyNumberFormat="1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189" fontId="50" fillId="0" borderId="0" xfId="0" applyNumberFormat="1" applyFont="1" applyAlignment="1" applyProtection="1">
      <alignment vertical="center"/>
      <protection locked="0"/>
    </xf>
    <xf numFmtId="185" fontId="50" fillId="0" borderId="0" xfId="0" applyNumberFormat="1" applyFont="1" applyAlignment="1" applyProtection="1">
      <alignment vertical="center"/>
      <protection locked="0"/>
    </xf>
    <xf numFmtId="189" fontId="50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 locked="0"/>
    </xf>
    <xf numFmtId="187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86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89" fontId="29" fillId="0" borderId="0" xfId="0" applyNumberFormat="1" applyFont="1" applyFill="1" applyBorder="1" applyAlignment="1" applyProtection="1">
      <alignment horizontal="center" vertical="center"/>
      <protection locked="0"/>
    </xf>
    <xf numFmtId="187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185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/>
      <protection/>
    </xf>
    <xf numFmtId="0" fontId="30" fillId="0" borderId="10" xfId="0" applyFont="1" applyFill="1" applyBorder="1" applyAlignment="1" applyProtection="1">
      <alignment horizontal="center" vertical="center" shrinkToFit="1"/>
      <protection locked="0"/>
    </xf>
    <xf numFmtId="186" fontId="30" fillId="0" borderId="10" xfId="0" applyNumberFormat="1" applyFont="1" applyFill="1" applyBorder="1" applyAlignment="1" applyProtection="1">
      <alignment horizontal="right" vertical="center" shrinkToFit="1"/>
      <protection/>
    </xf>
    <xf numFmtId="186" fontId="29" fillId="0" borderId="10" xfId="0" applyNumberFormat="1" applyFont="1" applyFill="1" applyBorder="1" applyAlignment="1" applyProtection="1">
      <alignment horizontal="right" vertical="center" shrinkToFit="1"/>
      <protection/>
    </xf>
    <xf numFmtId="189" fontId="30" fillId="0" borderId="10" xfId="0" applyNumberFormat="1" applyFont="1" applyFill="1" applyBorder="1" applyAlignment="1" applyProtection="1">
      <alignment horizontal="right" vertical="center" shrinkToFit="1"/>
      <protection locked="0"/>
    </xf>
    <xf numFmtId="185" fontId="30" fillId="0" borderId="10" xfId="0" applyNumberFormat="1" applyFont="1" applyFill="1" applyBorder="1" applyAlignment="1" applyProtection="1">
      <alignment horizontal="right" vertical="center" shrinkToFit="1"/>
      <protection/>
    </xf>
    <xf numFmtId="186" fontId="32" fillId="0" borderId="0" xfId="0" applyNumberFormat="1" applyFont="1" applyFill="1" applyBorder="1" applyAlignment="1" applyProtection="1">
      <alignment horizontal="right" vertical="center" shrinkToFit="1"/>
      <protection/>
    </xf>
    <xf numFmtId="186" fontId="30" fillId="0" borderId="14" xfId="0" applyNumberFormat="1" applyFont="1" applyFill="1" applyBorder="1" applyAlignment="1" applyProtection="1">
      <alignment horizontal="right" vertical="center" shrinkToFit="1"/>
      <protection/>
    </xf>
    <xf numFmtId="187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vertical="center" shrinkToFit="1"/>
      <protection locked="0"/>
    </xf>
    <xf numFmtId="186" fontId="30" fillId="0" borderId="10" xfId="0" applyNumberFormat="1" applyFont="1" applyFill="1" applyBorder="1" applyAlignment="1" applyProtection="1">
      <alignment horizontal="right" vertical="center" shrinkToFit="1"/>
      <protection locked="0"/>
    </xf>
    <xf numFmtId="186" fontId="41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1" fillId="0" borderId="10" xfId="0" applyFont="1" applyFill="1" applyBorder="1" applyAlignment="1" applyProtection="1">
      <alignment vertical="center" shrinkToFit="1"/>
      <protection locked="0"/>
    </xf>
    <xf numFmtId="187" fontId="3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3" fillId="0" borderId="10" xfId="0" applyFont="1" applyFill="1" applyBorder="1" applyAlignment="1" applyProtection="1">
      <alignment vertical="center"/>
      <protection locked="0"/>
    </xf>
    <xf numFmtId="186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/>
    </xf>
    <xf numFmtId="186" fontId="30" fillId="0" borderId="10" xfId="42" applyNumberFormat="1" applyFont="1" applyFill="1" applyBorder="1" applyAlignment="1" applyProtection="1">
      <alignment horizontal="right" vertical="center" shrinkToFit="1"/>
      <protection locked="0"/>
    </xf>
    <xf numFmtId="186" fontId="41" fillId="0" borderId="10" xfId="42" applyNumberFormat="1" applyFont="1" applyFill="1" applyBorder="1" applyAlignment="1" applyProtection="1">
      <alignment horizontal="right" vertical="center" shrinkToFit="1"/>
      <protection locked="0"/>
    </xf>
    <xf numFmtId="186" fontId="32" fillId="0" borderId="0" xfId="0" applyNumberFormat="1" applyFont="1" applyFill="1" applyBorder="1" applyAlignment="1" applyProtection="1">
      <alignment horizontal="right" vertical="center" shrinkToFit="1"/>
      <protection locked="0"/>
    </xf>
    <xf numFmtId="186" fontId="30" fillId="0" borderId="12" xfId="0" applyNumberFormat="1" applyFont="1" applyFill="1" applyBorder="1" applyAlignment="1" applyProtection="1">
      <alignment horizontal="right" vertical="center" shrinkToFit="1"/>
      <protection locked="0"/>
    </xf>
    <xf numFmtId="186" fontId="30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30" fillId="26" borderId="10" xfId="0" applyFont="1" applyFill="1" applyBorder="1" applyAlignment="1" applyProtection="1">
      <alignment vertical="center" shrinkToFit="1"/>
      <protection locked="0"/>
    </xf>
    <xf numFmtId="186" fontId="30" fillId="26" borderId="10" xfId="0" applyNumberFormat="1" applyFont="1" applyFill="1" applyBorder="1" applyAlignment="1" applyProtection="1">
      <alignment horizontal="right" vertical="center" shrinkToFit="1"/>
      <protection/>
    </xf>
    <xf numFmtId="186" fontId="41" fillId="26" borderId="10" xfId="0" applyNumberFormat="1" applyFont="1" applyFill="1" applyBorder="1" applyAlignment="1" applyProtection="1">
      <alignment horizontal="right" vertical="center" shrinkToFit="1"/>
      <protection/>
    </xf>
    <xf numFmtId="189" fontId="30" fillId="26" borderId="10" xfId="0" applyNumberFormat="1" applyFont="1" applyFill="1" applyBorder="1" applyAlignment="1" applyProtection="1">
      <alignment horizontal="right" vertical="center" shrinkToFit="1"/>
      <protection locked="0"/>
    </xf>
    <xf numFmtId="185" fontId="30" fillId="26" borderId="10" xfId="0" applyNumberFormat="1" applyFont="1" applyFill="1" applyBorder="1" applyAlignment="1" applyProtection="1">
      <alignment horizontal="right" vertical="center" shrinkToFit="1"/>
      <protection/>
    </xf>
    <xf numFmtId="186" fontId="41" fillId="0" borderId="14" xfId="0" applyNumberFormat="1" applyFont="1" applyFill="1" applyBorder="1" applyAlignment="1" applyProtection="1">
      <alignment horizontal="right" vertical="center" shrinkToFit="1"/>
      <protection/>
    </xf>
    <xf numFmtId="186" fontId="54" fillId="0" borderId="10" xfId="0" applyNumberFormat="1" applyFont="1" applyFill="1" applyBorder="1" applyAlignment="1" applyProtection="1">
      <alignment horizontal="right" vertical="center" shrinkToFit="1"/>
      <protection/>
    </xf>
    <xf numFmtId="185" fontId="54" fillId="0" borderId="10" xfId="0" applyNumberFormat="1" applyFont="1" applyFill="1" applyBorder="1" applyAlignment="1" applyProtection="1">
      <alignment horizontal="right" vertical="center" shrinkToFit="1"/>
      <protection/>
    </xf>
    <xf numFmtId="186" fontId="54" fillId="0" borderId="14" xfId="0" applyNumberFormat="1" applyFont="1" applyFill="1" applyBorder="1" applyAlignment="1" applyProtection="1">
      <alignment horizontal="right" vertical="center" shrinkToFit="1"/>
      <protection/>
    </xf>
    <xf numFmtId="0" fontId="30" fillId="0" borderId="10" xfId="46" applyFont="1" applyFill="1" applyBorder="1" applyAlignment="1" applyProtection="1">
      <alignment vertical="center" shrinkToFit="1"/>
      <protection locked="0"/>
    </xf>
    <xf numFmtId="186" fontId="29" fillId="0" borderId="10" xfId="0" applyNumberFormat="1" applyFont="1" applyFill="1" applyBorder="1" applyAlignment="1" applyProtection="1">
      <alignment horizontal="right" vertical="center" shrinkToFit="1"/>
      <protection locked="0"/>
    </xf>
    <xf numFmtId="186" fontId="54" fillId="0" borderId="10" xfId="0" applyNumberFormat="1" applyFont="1" applyFill="1" applyBorder="1" applyAlignment="1" applyProtection="1">
      <alignment horizontal="right" vertical="center" shrinkToFit="1"/>
      <protection locked="0"/>
    </xf>
    <xf numFmtId="186" fontId="63" fillId="0" borderId="10" xfId="0" applyNumberFormat="1" applyFont="1" applyFill="1" applyBorder="1" applyAlignment="1" applyProtection="1">
      <alignment horizontal="right" vertical="center" shrinkToFit="1"/>
      <protection locked="0"/>
    </xf>
    <xf numFmtId="186" fontId="5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1" fillId="0" borderId="10" xfId="46" applyFont="1" applyFill="1" applyBorder="1" applyAlignment="1" applyProtection="1">
      <alignment vertical="center" shrinkToFit="1"/>
      <protection locked="0"/>
    </xf>
    <xf numFmtId="186" fontId="73" fillId="0" borderId="10" xfId="0" applyNumberFormat="1" applyFont="1" applyFill="1" applyBorder="1" applyAlignment="1" applyProtection="1">
      <alignment horizontal="right" vertical="center" shrinkToFit="1"/>
      <protection locked="0"/>
    </xf>
    <xf numFmtId="187" fontId="2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1" fillId="0" borderId="10" xfId="46" applyFont="1" applyFill="1" applyBorder="1" applyAlignment="1" applyProtection="1">
      <alignment vertical="center"/>
      <protection locked="0"/>
    </xf>
    <xf numFmtId="0" fontId="72" fillId="0" borderId="10" xfId="46" applyFont="1" applyFill="1" applyBorder="1" applyAlignment="1" applyProtection="1">
      <alignment vertical="center" shrinkToFit="1"/>
      <protection locked="0"/>
    </xf>
    <xf numFmtId="186" fontId="4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186" fontId="62" fillId="0" borderId="0" xfId="0" applyNumberFormat="1" applyFont="1" applyFill="1" applyBorder="1" applyAlignment="1" applyProtection="1">
      <alignment horizontal="center" vertical="center"/>
      <protection locked="0"/>
    </xf>
    <xf numFmtId="189" fontId="62" fillId="0" borderId="0" xfId="0" applyNumberFormat="1" applyFont="1" applyFill="1" applyBorder="1" applyAlignment="1" applyProtection="1">
      <alignment horizontal="center" vertical="center"/>
      <protection locked="0"/>
    </xf>
    <xf numFmtId="185" fontId="62" fillId="0" borderId="0" xfId="0" applyNumberFormat="1" applyFont="1" applyFill="1" applyBorder="1" applyAlignment="1" applyProtection="1">
      <alignment horizontal="center" vertical="center"/>
      <protection locked="0"/>
    </xf>
    <xf numFmtId="186" fontId="32" fillId="0" borderId="0" xfId="0" applyNumberFormat="1" applyFont="1" applyFill="1" applyBorder="1" applyAlignment="1" applyProtection="1">
      <alignment horizontal="center" vertical="center"/>
      <protection locked="0"/>
    </xf>
    <xf numFmtId="186" fontId="30" fillId="0" borderId="11" xfId="0" applyNumberFormat="1" applyFont="1" applyFill="1" applyBorder="1" applyAlignment="1" applyProtection="1">
      <alignment horizontal="right" vertical="center" shrinkToFit="1"/>
      <protection/>
    </xf>
    <xf numFmtId="18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186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189" fontId="47" fillId="0" borderId="0" xfId="0" applyNumberFormat="1" applyFont="1" applyFill="1" applyBorder="1" applyAlignment="1" applyProtection="1">
      <alignment horizontal="center" vertical="center"/>
      <protection locked="0"/>
    </xf>
    <xf numFmtId="189" fontId="49" fillId="0" borderId="0" xfId="0" applyNumberFormat="1" applyFont="1" applyFill="1" applyBorder="1" applyAlignment="1" applyProtection="1">
      <alignment horizontal="center" vertical="center"/>
      <protection locked="0"/>
    </xf>
    <xf numFmtId="185" fontId="49" fillId="0" borderId="0" xfId="0" applyNumberFormat="1" applyFont="1" applyFill="1" applyBorder="1" applyAlignment="1" applyProtection="1">
      <alignment horizontal="center" vertical="center"/>
      <protection locked="0"/>
    </xf>
    <xf numFmtId="186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187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1" fontId="38" fillId="0" borderId="10" xfId="0" applyNumberFormat="1" applyFont="1" applyFill="1" applyBorder="1" applyAlignment="1">
      <alignment horizontal="center" vertical="center"/>
    </xf>
    <xf numFmtId="185" fontId="30" fillId="0" borderId="10" xfId="0" applyNumberFormat="1" applyFont="1" applyBorder="1" applyAlignment="1" applyProtection="1">
      <alignment horizontal="right" vertical="center" shrinkToFit="1"/>
      <protection locked="0"/>
    </xf>
    <xf numFmtId="1" fontId="65" fillId="0" borderId="10" xfId="0" applyNumberFormat="1" applyFont="1" applyFill="1" applyBorder="1" applyAlignment="1">
      <alignment horizontal="left" vertical="center"/>
    </xf>
    <xf numFmtId="186" fontId="30" fillId="24" borderId="10" xfId="0" applyNumberFormat="1" applyFont="1" applyFill="1" applyBorder="1" applyAlignment="1" applyProtection="1">
      <alignment horizontal="right" vertical="center" shrinkToFit="1"/>
      <protection locked="0"/>
    </xf>
    <xf numFmtId="0" fontId="65" fillId="26" borderId="10" xfId="0" applyFont="1" applyFill="1" applyBorder="1" applyAlignment="1">
      <alignment vertical="center"/>
    </xf>
    <xf numFmtId="186" fontId="30" fillId="26" borderId="10" xfId="0" applyNumberFormat="1" applyFont="1" applyFill="1" applyBorder="1" applyAlignment="1" applyProtection="1">
      <alignment horizontal="right" vertical="center" shrinkToFit="1"/>
      <protection locked="0"/>
    </xf>
    <xf numFmtId="1" fontId="65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86" fontId="75" fillId="0" borderId="10" xfId="0" applyNumberFormat="1" applyFont="1" applyBorder="1" applyAlignment="1" applyProtection="1">
      <alignment horizontal="right" vertical="center" shrinkToFit="1"/>
      <protection locked="0"/>
    </xf>
    <xf numFmtId="186" fontId="76" fillId="0" borderId="10" xfId="0" applyNumberFormat="1" applyFont="1" applyBorder="1" applyAlignment="1" applyProtection="1">
      <alignment horizontal="right" vertical="center" shrinkToFit="1"/>
      <protection locked="0"/>
    </xf>
    <xf numFmtId="185" fontId="76" fillId="0" borderId="10" xfId="0" applyNumberFormat="1" applyFont="1" applyBorder="1" applyAlignment="1" applyProtection="1">
      <alignment horizontal="right" vertical="center" shrinkToFit="1"/>
      <protection locked="0"/>
    </xf>
    <xf numFmtId="1" fontId="77" fillId="0" borderId="10" xfId="0" applyNumberFormat="1" applyFont="1" applyFill="1" applyBorder="1" applyAlignment="1">
      <alignment horizontal="left" vertical="center" wrapText="1"/>
    </xf>
    <xf numFmtId="0" fontId="65" fillId="26" borderId="10" xfId="0" applyFont="1" applyFill="1" applyBorder="1" applyAlignment="1">
      <alignment vertical="center" wrapText="1"/>
    </xf>
    <xf numFmtId="0" fontId="20" fillId="26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0" fillId="26" borderId="10" xfId="0" applyFill="1" applyBorder="1" applyAlignment="1">
      <alignment/>
    </xf>
    <xf numFmtId="186" fontId="76" fillId="26" borderId="10" xfId="0" applyNumberFormat="1" applyFont="1" applyFill="1" applyBorder="1" applyAlignment="1" applyProtection="1">
      <alignment horizontal="right" vertical="center" shrinkToFit="1"/>
      <protection locked="0"/>
    </xf>
    <xf numFmtId="185" fontId="76" fillId="26" borderId="10" xfId="0" applyNumberFormat="1" applyFont="1" applyFill="1" applyBorder="1" applyAlignment="1" applyProtection="1">
      <alignment horizontal="right" vertical="center" shrinkToFit="1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0" xfId="45" applyProtection="1">
      <alignment vertical="center"/>
      <protection locked="0"/>
    </xf>
    <xf numFmtId="191" fontId="79" fillId="0" borderId="16" xfId="45" applyNumberFormat="1" applyFont="1" applyBorder="1" applyAlignment="1" applyProtection="1">
      <alignment vertical="center"/>
      <protection locked="0"/>
    </xf>
    <xf numFmtId="185" fontId="79" fillId="0" borderId="16" xfId="45" applyNumberFormat="1" applyFont="1" applyBorder="1" applyAlignment="1" applyProtection="1">
      <alignment vertical="center"/>
      <protection locked="0"/>
    </xf>
    <xf numFmtId="0" fontId="70" fillId="0" borderId="0" xfId="45" applyFont="1" applyProtection="1">
      <alignment vertical="center"/>
      <protection locked="0"/>
    </xf>
    <xf numFmtId="0" fontId="38" fillId="0" borderId="10" xfId="45" applyFont="1" applyBorder="1" applyAlignment="1" applyProtection="1">
      <alignment horizontal="center" vertical="center" shrinkToFit="1"/>
      <protection locked="0"/>
    </xf>
    <xf numFmtId="191" fontId="2" fillId="0" borderId="10" xfId="45" applyNumberFormat="1" applyFont="1" applyBorder="1" applyAlignment="1" applyProtection="1">
      <alignment horizontal="center" vertical="center" wrapText="1"/>
      <protection locked="0"/>
    </xf>
    <xf numFmtId="0" fontId="2" fillId="0" borderId="10" xfId="45" applyFont="1" applyBorder="1" applyAlignment="1" applyProtection="1">
      <alignment horizontal="center" vertical="center" wrapText="1"/>
      <protection locked="0"/>
    </xf>
    <xf numFmtId="185" fontId="2" fillId="0" borderId="10" xfId="45" applyNumberFormat="1" applyFont="1" applyBorder="1" applyAlignment="1" applyProtection="1">
      <alignment horizontal="center" vertical="center" wrapText="1" shrinkToFit="1"/>
      <protection locked="0"/>
    </xf>
    <xf numFmtId="0" fontId="80" fillId="0" borderId="10" xfId="45" applyFont="1" applyBorder="1" applyAlignment="1" applyProtection="1">
      <alignment horizontal="center" vertical="center" wrapText="1"/>
      <protection locked="0"/>
    </xf>
    <xf numFmtId="0" fontId="81" fillId="0" borderId="0" xfId="45" applyFont="1" applyAlignment="1" applyProtection="1">
      <alignment vertical="center" wrapText="1"/>
      <protection locked="0"/>
    </xf>
    <xf numFmtId="185" fontId="38" fillId="22" borderId="10" xfId="45" applyNumberFormat="1" applyFont="1" applyFill="1" applyBorder="1" applyAlignment="1" applyProtection="1">
      <alignment horizontal="center" vertical="center" shrinkToFit="1"/>
      <protection locked="0"/>
    </xf>
    <xf numFmtId="191" fontId="38" fillId="22" borderId="10" xfId="45" applyNumberFormat="1" applyFont="1" applyFill="1" applyBorder="1" applyAlignment="1" applyProtection="1">
      <alignment horizontal="right" vertical="center" shrinkToFit="1"/>
      <protection/>
    </xf>
    <xf numFmtId="185" fontId="38" fillId="22" borderId="10" xfId="45" applyNumberFormat="1" applyFont="1" applyFill="1" applyBorder="1" applyAlignment="1" applyProtection="1">
      <alignment horizontal="right" vertical="center" shrinkToFit="1"/>
      <protection/>
    </xf>
    <xf numFmtId="185" fontId="38" fillId="22" borderId="10" xfId="45" applyNumberFormat="1" applyFont="1" applyFill="1" applyBorder="1" applyAlignment="1" applyProtection="1">
      <alignment horizontal="center" vertical="center" shrinkToFit="1"/>
      <protection/>
    </xf>
    <xf numFmtId="0" fontId="82" fillId="0" borderId="10" xfId="45" applyFont="1" applyBorder="1" applyAlignment="1" applyProtection="1">
      <alignment horizontal="center" vertical="center" shrinkToFit="1"/>
      <protection locked="0"/>
    </xf>
    <xf numFmtId="0" fontId="65" fillId="0" borderId="10" xfId="45" applyFont="1" applyFill="1" applyBorder="1">
      <alignment vertical="center"/>
      <protection/>
    </xf>
    <xf numFmtId="0" fontId="65" fillId="0" borderId="10" xfId="45" applyFont="1" applyBorder="1">
      <alignment vertical="center"/>
      <protection/>
    </xf>
    <xf numFmtId="185" fontId="65" fillId="22" borderId="10" xfId="45" applyNumberFormat="1" applyFont="1" applyFill="1" applyBorder="1" applyAlignment="1" applyProtection="1">
      <alignment horizontal="center" vertical="center" shrinkToFit="1"/>
      <protection/>
    </xf>
    <xf numFmtId="186" fontId="65" fillId="0" borderId="10" xfId="45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45" applyFont="1" applyProtection="1">
      <alignment vertical="center"/>
      <protection locked="0"/>
    </xf>
    <xf numFmtId="0" fontId="81" fillId="0" borderId="17" xfId="45" applyFont="1" applyBorder="1" applyAlignment="1" applyProtection="1">
      <alignment vertical="center" wrapText="1"/>
      <protection locked="0"/>
    </xf>
    <xf numFmtId="185" fontId="35" fillId="0" borderId="10" xfId="45" applyNumberFormat="1" applyFont="1" applyBorder="1" applyAlignment="1" applyProtection="1">
      <alignment horizontal="left" vertical="center" shrinkToFit="1"/>
      <protection locked="0"/>
    </xf>
    <xf numFmtId="191" fontId="84" fillId="0" borderId="10" xfId="45" applyNumberFormat="1" applyFont="1" applyBorder="1" applyAlignment="1" applyProtection="1">
      <alignment horizontal="right" vertical="center" shrinkToFit="1"/>
      <protection locked="0"/>
    </xf>
    <xf numFmtId="185" fontId="84" fillId="0" borderId="10" xfId="45" applyNumberFormat="1" applyFont="1" applyBorder="1" applyAlignment="1" applyProtection="1">
      <alignment horizontal="right" vertical="center" shrinkToFit="1"/>
      <protection locked="0"/>
    </xf>
    <xf numFmtId="185" fontId="84" fillId="22" borderId="10" xfId="45" applyNumberFormat="1" applyFont="1" applyFill="1" applyBorder="1" applyAlignment="1" applyProtection="1">
      <alignment horizontal="center" vertical="center" shrinkToFit="1"/>
      <protection/>
    </xf>
    <xf numFmtId="186" fontId="84" fillId="0" borderId="10" xfId="45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45" applyFont="1" applyAlignment="1" applyProtection="1">
      <alignment vertical="center" shrinkToFit="1"/>
      <protection locked="0"/>
    </xf>
    <xf numFmtId="185" fontId="71" fillId="0" borderId="0" xfId="45" applyNumberFormat="1" applyFont="1" applyAlignment="1" applyProtection="1">
      <alignment horizontal="center" vertical="center"/>
      <protection locked="0"/>
    </xf>
    <xf numFmtId="185" fontId="0" fillId="0" borderId="0" xfId="45" applyNumberFormat="1" applyAlignment="1" applyProtection="1">
      <alignment vertical="center" shrinkToFit="1"/>
      <protection locked="0"/>
    </xf>
    <xf numFmtId="185" fontId="0" fillId="0" borderId="0" xfId="45" applyNumberFormat="1" applyAlignment="1" applyProtection="1">
      <alignment horizontal="right" vertical="center"/>
      <protection locked="0"/>
    </xf>
    <xf numFmtId="0" fontId="45" fillId="0" borderId="0" xfId="45" applyFont="1" applyAlignment="1" applyProtection="1">
      <alignment vertical="center" wrapText="1" shrinkToFit="1"/>
      <protection locked="0"/>
    </xf>
    <xf numFmtId="185" fontId="86" fillId="22" borderId="0" xfId="45" applyNumberFormat="1" applyFont="1" applyFill="1" applyAlignment="1" applyProtection="1">
      <alignment horizontal="right" vertical="center" shrinkToFit="1"/>
      <protection/>
    </xf>
    <xf numFmtId="191" fontId="0" fillId="0" borderId="10" xfId="45" applyNumberFormat="1" applyBorder="1" applyAlignment="1" applyProtection="1">
      <alignment vertical="center"/>
      <protection locked="0"/>
    </xf>
    <xf numFmtId="185" fontId="87" fillId="22" borderId="0" xfId="45" applyNumberFormat="1" applyFont="1" applyFill="1" applyAlignment="1" applyProtection="1">
      <alignment horizontal="right" vertical="center" shrinkToFit="1"/>
      <protection/>
    </xf>
    <xf numFmtId="185" fontId="88" fillId="0" borderId="10" xfId="45" applyNumberFormat="1" applyFont="1" applyBorder="1" applyAlignment="1" applyProtection="1">
      <alignment vertical="center" shrinkToFit="1"/>
      <protection locked="0"/>
    </xf>
    <xf numFmtId="185" fontId="89" fillId="22" borderId="17" xfId="45" applyNumberFormat="1" applyFont="1" applyFill="1" applyBorder="1" applyAlignment="1" applyProtection="1">
      <alignment vertical="center" shrinkToFit="1"/>
      <protection/>
    </xf>
    <xf numFmtId="197" fontId="90" fillId="28" borderId="0" xfId="45" applyNumberFormat="1" applyFont="1" applyFill="1" applyProtection="1">
      <alignment vertical="center"/>
      <protection locked="0"/>
    </xf>
    <xf numFmtId="191" fontId="0" fillId="0" borderId="0" xfId="45" applyNumberFormat="1" applyProtection="1">
      <alignment vertical="center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186" fontId="30" fillId="0" borderId="10" xfId="0" applyNumberFormat="1" applyFont="1" applyBorder="1" applyAlignment="1" applyProtection="1">
      <alignment horizontal="center" vertical="center" wrapText="1"/>
      <protection locked="0"/>
    </xf>
    <xf numFmtId="189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87" fontId="27" fillId="0" borderId="18" xfId="0" applyNumberFormat="1" applyFont="1" applyBorder="1" applyAlignment="1" applyProtection="1">
      <alignment horizontal="center" vertical="center"/>
      <protection locked="0"/>
    </xf>
    <xf numFmtId="186" fontId="32" fillId="0" borderId="17" xfId="0" applyNumberFormat="1" applyFont="1" applyBorder="1" applyAlignment="1" applyProtection="1">
      <alignment horizontal="center" vertical="center" wrapText="1"/>
      <protection locked="0"/>
    </xf>
    <xf numFmtId="0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89" fontId="29" fillId="0" borderId="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87" fontId="27" fillId="0" borderId="19" xfId="0" applyNumberFormat="1" applyFont="1" applyBorder="1" applyAlignment="1" applyProtection="1">
      <alignment horizontal="center" vertical="center"/>
      <protection locked="0"/>
    </xf>
    <xf numFmtId="18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/>
    </xf>
    <xf numFmtId="189" fontId="32" fillId="0" borderId="0" xfId="0" applyNumberFormat="1" applyFont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34" fillId="0" borderId="19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4" xfId="0" applyNumberFormat="1" applyFont="1" applyBorder="1" applyAlignment="1" applyProtection="1">
      <alignment horizontal="center" vertical="center"/>
      <protection locked="0"/>
    </xf>
    <xf numFmtId="187" fontId="27" fillId="0" borderId="11" xfId="0" applyNumberFormat="1" applyFont="1" applyBorder="1" applyAlignment="1" applyProtection="1">
      <alignment horizontal="center" vertical="center"/>
      <protection locked="0"/>
    </xf>
    <xf numFmtId="187" fontId="27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189" fontId="29" fillId="0" borderId="0" xfId="0" applyNumberFormat="1" applyFont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1" xfId="0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186" fontId="29" fillId="0" borderId="11" xfId="0" applyNumberFormat="1" applyFont="1" applyBorder="1" applyAlignment="1" applyProtection="1">
      <alignment horizontal="center" vertical="center" wrapText="1"/>
      <protection locked="0"/>
    </xf>
    <xf numFmtId="186" fontId="29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185" fontId="29" fillId="0" borderId="0" xfId="0" applyNumberFormat="1" applyFont="1" applyAlignment="1" applyProtection="1">
      <alignment horizontal="center" vertical="center"/>
      <protection locked="0"/>
    </xf>
    <xf numFmtId="187" fontId="30" fillId="0" borderId="10" xfId="0" applyNumberFormat="1" applyFont="1" applyBorder="1" applyAlignment="1" applyProtection="1">
      <alignment horizontal="center" vertical="center" wrapText="1"/>
      <protection locked="0"/>
    </xf>
    <xf numFmtId="187" fontId="30" fillId="0" borderId="10" xfId="0" applyNumberFormat="1" applyFont="1" applyBorder="1" applyAlignment="1" applyProtection="1">
      <alignment horizontal="center" vertical="center"/>
      <protection locked="0"/>
    </xf>
    <xf numFmtId="185" fontId="30" fillId="0" borderId="10" xfId="0" applyNumberFormat="1" applyFont="1" applyBorder="1" applyAlignment="1" applyProtection="1">
      <alignment horizontal="center" vertical="center"/>
      <protection locked="0"/>
    </xf>
    <xf numFmtId="185" fontId="41" fillId="0" borderId="10" xfId="0" applyNumberFormat="1" applyFont="1" applyBorder="1" applyAlignment="1" applyProtection="1">
      <alignment horizontal="center" vertical="center" wrapText="1"/>
      <protection locked="0"/>
    </xf>
    <xf numFmtId="186" fontId="41" fillId="0" borderId="10" xfId="0" applyNumberFormat="1" applyFont="1" applyBorder="1" applyAlignment="1" applyProtection="1">
      <alignment horizontal="center" vertical="center" wrapText="1"/>
      <protection locked="0"/>
    </xf>
    <xf numFmtId="192" fontId="41" fillId="0" borderId="10" xfId="0" applyNumberFormat="1" applyFont="1" applyBorder="1" applyAlignment="1" applyProtection="1">
      <alignment horizontal="center" vertical="center" wrapText="1"/>
      <protection locked="0"/>
    </xf>
    <xf numFmtId="189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187" fontId="27" fillId="0" borderId="11" xfId="0" applyNumberFormat="1" applyFont="1" applyFill="1" applyBorder="1" applyAlignment="1" applyProtection="1">
      <alignment horizontal="center" vertical="center"/>
      <protection locked="0"/>
    </xf>
    <xf numFmtId="187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86" fontId="3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189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86" fontId="7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18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30" fillId="0" borderId="10" xfId="0" applyNumberFormat="1" applyFont="1" applyFill="1" applyBorder="1" applyAlignment="1" applyProtection="1">
      <alignment horizontal="center" vertical="center"/>
      <protection locked="0"/>
    </xf>
    <xf numFmtId="186" fontId="7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91" fillId="0" borderId="0" xfId="45" applyFont="1" applyAlignment="1" applyProtection="1">
      <alignment horizontal="center" vertical="center" wrapText="1" shrinkToFit="1"/>
      <protection locked="0"/>
    </xf>
    <xf numFmtId="0" fontId="52" fillId="22" borderId="0" xfId="45" applyFont="1" applyFill="1" applyAlignment="1" applyProtection="1">
      <alignment horizontal="left" vertical="center" wrapText="1"/>
      <protection/>
    </xf>
    <xf numFmtId="191" fontId="85" fillId="3" borderId="11" xfId="45" applyNumberFormat="1" applyFont="1" applyFill="1" applyBorder="1" applyAlignment="1" applyProtection="1">
      <alignment horizontal="center" vertical="center"/>
      <protection locked="0"/>
    </xf>
    <xf numFmtId="191" fontId="85" fillId="3" borderId="14" xfId="45" applyNumberFormat="1" applyFont="1" applyFill="1" applyBorder="1" applyAlignment="1" applyProtection="1">
      <alignment horizontal="center" vertical="center"/>
      <protection locked="0"/>
    </xf>
    <xf numFmtId="0" fontId="52" fillId="29" borderId="11" xfId="45" applyFont="1" applyFill="1" applyBorder="1" applyAlignment="1" applyProtection="1">
      <alignment horizontal="center" vertical="center" wrapText="1"/>
      <protection locked="0"/>
    </xf>
    <xf numFmtId="0" fontId="52" fillId="29" borderId="14" xfId="45" applyFont="1" applyFill="1" applyBorder="1" applyAlignment="1" applyProtection="1">
      <alignment horizontal="center" vertical="center" wrapText="1"/>
      <protection locked="0"/>
    </xf>
    <xf numFmtId="0" fontId="78" fillId="0" borderId="0" xfId="45" applyFont="1" applyAlignment="1" applyProtection="1">
      <alignment horizontal="center" vertical="center"/>
      <protection/>
    </xf>
    <xf numFmtId="0" fontId="83" fillId="0" borderId="17" xfId="45" applyFont="1" applyBorder="1" applyAlignment="1" applyProtection="1">
      <alignment horizontal="left" vertical="center"/>
      <protection locked="0"/>
    </xf>
    <xf numFmtId="0" fontId="83" fillId="0" borderId="0" xfId="45" applyFont="1" applyBorder="1" applyAlignment="1" applyProtection="1">
      <alignment horizontal="left" vertical="center"/>
      <protection locked="0"/>
    </xf>
    <xf numFmtId="0" fontId="81" fillId="0" borderId="17" xfId="45" applyFont="1" applyBorder="1" applyAlignment="1" applyProtection="1">
      <alignment vertical="top" wrapText="1"/>
      <protection locked="0"/>
    </xf>
    <xf numFmtId="0" fontId="81" fillId="0" borderId="0" xfId="45" applyFont="1" applyBorder="1" applyAlignment="1" applyProtection="1">
      <alignment vertical="top" wrapText="1"/>
      <protection locked="0"/>
    </xf>
    <xf numFmtId="0" fontId="3" fillId="28" borderId="0" xfId="45" applyFont="1" applyFill="1" applyAlignment="1" applyProtection="1">
      <alignment horizontal="center" vertical="center" wrapText="1"/>
      <protection locked="0"/>
    </xf>
    <xf numFmtId="0" fontId="38" fillId="22" borderId="22" xfId="45" applyFont="1" applyFill="1" applyBorder="1" applyAlignment="1" applyProtection="1">
      <alignment horizontal="left" vertical="center" wrapText="1"/>
      <protection/>
    </xf>
    <xf numFmtId="185" fontId="77" fillId="0" borderId="16" xfId="45" applyNumberFormat="1" applyFont="1" applyBorder="1" applyAlignment="1" applyProtection="1">
      <alignment horizontal="center" vertical="center" shrinkToFit="1"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Sheet1" xfId="44"/>
    <cellStyle name="常规_全市工业企业元--8月收入情况表" xfId="45"/>
    <cellStyle name="常规_新 邓州市2015年11月报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97-917" xfId="57"/>
    <cellStyle name="千分位[0]_laroux" xfId="58"/>
    <cellStyle name="千分位_97-917" xfId="59"/>
    <cellStyle name="千位[0]_1" xfId="60"/>
    <cellStyle name="千位_1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29</xdr:col>
      <xdr:colOff>523875</xdr:colOff>
      <xdr:row>41</xdr:row>
      <xdr:rowOff>276225</xdr:rowOff>
    </xdr:from>
    <xdr:to>
      <xdr:col>29</xdr:col>
      <xdr:colOff>523875</xdr:colOff>
      <xdr:row>44</xdr:row>
      <xdr:rowOff>9525</xdr:rowOff>
    </xdr:to>
    <xdr:sp>
      <xdr:nvSpPr>
        <xdr:cNvPr id="1" name="AutoShape 39"/>
        <xdr:cNvSpPr>
          <a:spLocks/>
        </xdr:cNvSpPr>
      </xdr:nvSpPr>
      <xdr:spPr>
        <a:xfrm>
          <a:off x="9591675" y="15897225"/>
          <a:ext cx="0" cy="800100"/>
        </a:xfrm>
        <a:prstGeom prst="wedgeRoundRectCallout">
          <a:avLst>
            <a:gd name="adj1" fmla="val -76212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需手工填写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552450</xdr:colOff>
      <xdr:row>35</xdr:row>
      <xdr:rowOff>295275</xdr:rowOff>
    </xdr:from>
    <xdr:to>
      <xdr:col>25</xdr:col>
      <xdr:colOff>552450</xdr:colOff>
      <xdr:row>37</xdr:row>
      <xdr:rowOff>180975</xdr:rowOff>
    </xdr:to>
    <xdr:sp>
      <xdr:nvSpPr>
        <xdr:cNvPr id="1" name="AutoShape 39"/>
        <xdr:cNvSpPr>
          <a:spLocks/>
        </xdr:cNvSpPr>
      </xdr:nvSpPr>
      <xdr:spPr>
        <a:xfrm>
          <a:off x="9648825" y="16087725"/>
          <a:ext cx="0" cy="800100"/>
        </a:xfrm>
        <a:prstGeom prst="wedgeRoundRectCallout">
          <a:avLst>
            <a:gd name="adj1" fmla="val -76212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需手工填写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209550</xdr:rowOff>
    </xdr:to>
    <xdr:sp>
      <xdr:nvSpPr>
        <xdr:cNvPr id="1" name="Line 2"/>
        <xdr:cNvSpPr>
          <a:spLocks/>
        </xdr:cNvSpPr>
      </xdr:nvSpPr>
      <xdr:spPr>
        <a:xfrm>
          <a:off x="6105525" y="581977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200025</xdr:rowOff>
    </xdr:from>
    <xdr:to>
      <xdr:col>13</xdr:col>
      <xdr:colOff>0</xdr:colOff>
      <xdr:row>12</xdr:row>
      <xdr:rowOff>209550</xdr:rowOff>
    </xdr:to>
    <xdr:sp>
      <xdr:nvSpPr>
        <xdr:cNvPr id="2" name="Rectangle 3"/>
        <xdr:cNvSpPr>
          <a:spLocks/>
        </xdr:cNvSpPr>
      </xdr:nvSpPr>
      <xdr:spPr>
        <a:xfrm>
          <a:off x="6105525" y="581977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105525" y="61817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6105525" y="61817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28575</xdr:rowOff>
    </xdr:from>
    <xdr:to>
      <xdr:col>13</xdr:col>
      <xdr:colOff>0</xdr:colOff>
      <xdr:row>14</xdr:row>
      <xdr:rowOff>38100</xdr:rowOff>
    </xdr:to>
    <xdr:sp>
      <xdr:nvSpPr>
        <xdr:cNvPr id="5" name="Line 6"/>
        <xdr:cNvSpPr>
          <a:spLocks/>
        </xdr:cNvSpPr>
      </xdr:nvSpPr>
      <xdr:spPr>
        <a:xfrm>
          <a:off x="6105525" y="654367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28575</xdr:rowOff>
    </xdr:from>
    <xdr:to>
      <xdr:col>13</xdr:col>
      <xdr:colOff>0</xdr:colOff>
      <xdr:row>14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6105525" y="654367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209550</xdr:rowOff>
    </xdr:from>
    <xdr:to>
      <xdr:col>13</xdr:col>
      <xdr:colOff>0</xdr:colOff>
      <xdr:row>14</xdr:row>
      <xdr:rowOff>219075</xdr:rowOff>
    </xdr:to>
    <xdr:sp>
      <xdr:nvSpPr>
        <xdr:cNvPr id="7" name="Line 8"/>
        <xdr:cNvSpPr>
          <a:spLocks/>
        </xdr:cNvSpPr>
      </xdr:nvSpPr>
      <xdr:spPr>
        <a:xfrm>
          <a:off x="6105525" y="6724650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209550</xdr:rowOff>
    </xdr:from>
    <xdr:to>
      <xdr:col>13</xdr:col>
      <xdr:colOff>0</xdr:colOff>
      <xdr:row>14</xdr:row>
      <xdr:rowOff>219075</xdr:rowOff>
    </xdr:to>
    <xdr:sp>
      <xdr:nvSpPr>
        <xdr:cNvPr id="8" name="Rectangle 9"/>
        <xdr:cNvSpPr>
          <a:spLocks/>
        </xdr:cNvSpPr>
      </xdr:nvSpPr>
      <xdr:spPr>
        <a:xfrm>
          <a:off x="6105525" y="6724650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9" name="Line 10"/>
        <xdr:cNvSpPr>
          <a:spLocks/>
        </xdr:cNvSpPr>
      </xdr:nvSpPr>
      <xdr:spPr>
        <a:xfrm>
          <a:off x="6105525" y="785812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105525" y="78581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38100</xdr:rowOff>
    </xdr:from>
    <xdr:to>
      <xdr:col>13</xdr:col>
      <xdr:colOff>0</xdr:colOff>
      <xdr:row>15</xdr:row>
      <xdr:rowOff>47625</xdr:rowOff>
    </xdr:to>
    <xdr:sp>
      <xdr:nvSpPr>
        <xdr:cNvPr id="11" name="Line 12"/>
        <xdr:cNvSpPr>
          <a:spLocks/>
        </xdr:cNvSpPr>
      </xdr:nvSpPr>
      <xdr:spPr>
        <a:xfrm>
          <a:off x="6105525" y="700087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38100</xdr:rowOff>
    </xdr:from>
    <xdr:to>
      <xdr:col>13</xdr:col>
      <xdr:colOff>0</xdr:colOff>
      <xdr:row>15</xdr:row>
      <xdr:rowOff>47625</xdr:rowOff>
    </xdr:to>
    <xdr:sp>
      <xdr:nvSpPr>
        <xdr:cNvPr id="12" name="Rectangle 13"/>
        <xdr:cNvSpPr>
          <a:spLocks/>
        </xdr:cNvSpPr>
      </xdr:nvSpPr>
      <xdr:spPr>
        <a:xfrm>
          <a:off x="6105525" y="700087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219075</xdr:rowOff>
    </xdr:from>
    <xdr:to>
      <xdr:col>13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>
          <a:off x="6105525" y="7181850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219075</xdr:rowOff>
    </xdr:from>
    <xdr:to>
      <xdr:col>13</xdr:col>
      <xdr:colOff>0</xdr:colOff>
      <xdr:row>15</xdr:row>
      <xdr:rowOff>228600</xdr:rowOff>
    </xdr:to>
    <xdr:sp>
      <xdr:nvSpPr>
        <xdr:cNvPr id="14" name="Rectangle 15"/>
        <xdr:cNvSpPr>
          <a:spLocks/>
        </xdr:cNvSpPr>
      </xdr:nvSpPr>
      <xdr:spPr>
        <a:xfrm>
          <a:off x="6105525" y="7181850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16</xdr:row>
      <xdr:rowOff>142875</xdr:rowOff>
    </xdr:to>
    <xdr:sp>
      <xdr:nvSpPr>
        <xdr:cNvPr id="15" name="Line 16"/>
        <xdr:cNvSpPr>
          <a:spLocks/>
        </xdr:cNvSpPr>
      </xdr:nvSpPr>
      <xdr:spPr>
        <a:xfrm>
          <a:off x="6105525" y="7543800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0</xdr:colOff>
      <xdr:row>16</xdr:row>
      <xdr:rowOff>142875</xdr:rowOff>
    </xdr:to>
    <xdr:sp>
      <xdr:nvSpPr>
        <xdr:cNvPr id="16" name="Rectangle 17"/>
        <xdr:cNvSpPr>
          <a:spLocks/>
        </xdr:cNvSpPr>
      </xdr:nvSpPr>
      <xdr:spPr>
        <a:xfrm>
          <a:off x="6105525" y="7543800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17</xdr:row>
      <xdr:rowOff>57150</xdr:rowOff>
    </xdr:to>
    <xdr:sp>
      <xdr:nvSpPr>
        <xdr:cNvPr id="17" name="Line 18"/>
        <xdr:cNvSpPr>
          <a:spLocks/>
        </xdr:cNvSpPr>
      </xdr:nvSpPr>
      <xdr:spPr>
        <a:xfrm>
          <a:off x="6105525" y="7905750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47625</xdr:rowOff>
    </xdr:from>
    <xdr:to>
      <xdr:col>13</xdr:col>
      <xdr:colOff>0</xdr:colOff>
      <xdr:row>17</xdr:row>
      <xdr:rowOff>57150</xdr:rowOff>
    </xdr:to>
    <xdr:sp>
      <xdr:nvSpPr>
        <xdr:cNvPr id="18" name="Rectangle 19"/>
        <xdr:cNvSpPr>
          <a:spLocks/>
        </xdr:cNvSpPr>
      </xdr:nvSpPr>
      <xdr:spPr>
        <a:xfrm>
          <a:off x="6105525" y="7905750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228600</xdr:rowOff>
    </xdr:from>
    <xdr:to>
      <xdr:col>13</xdr:col>
      <xdr:colOff>0</xdr:colOff>
      <xdr:row>17</xdr:row>
      <xdr:rowOff>238125</xdr:rowOff>
    </xdr:to>
    <xdr:sp>
      <xdr:nvSpPr>
        <xdr:cNvPr id="19" name="Line 20"/>
        <xdr:cNvSpPr>
          <a:spLocks/>
        </xdr:cNvSpPr>
      </xdr:nvSpPr>
      <xdr:spPr>
        <a:xfrm>
          <a:off x="6105525" y="80867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228600</xdr:rowOff>
    </xdr:from>
    <xdr:to>
      <xdr:col>13</xdr:col>
      <xdr:colOff>0</xdr:colOff>
      <xdr:row>17</xdr:row>
      <xdr:rowOff>238125</xdr:rowOff>
    </xdr:to>
    <xdr:sp>
      <xdr:nvSpPr>
        <xdr:cNvPr id="20" name="Rectangle 21"/>
        <xdr:cNvSpPr>
          <a:spLocks/>
        </xdr:cNvSpPr>
      </xdr:nvSpPr>
      <xdr:spPr>
        <a:xfrm>
          <a:off x="6105525" y="80867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142875</xdr:rowOff>
    </xdr:from>
    <xdr:to>
      <xdr:col>13</xdr:col>
      <xdr:colOff>0</xdr:colOff>
      <xdr:row>18</xdr:row>
      <xdr:rowOff>152400</xdr:rowOff>
    </xdr:to>
    <xdr:sp>
      <xdr:nvSpPr>
        <xdr:cNvPr id="21" name="Line 22"/>
        <xdr:cNvSpPr>
          <a:spLocks/>
        </xdr:cNvSpPr>
      </xdr:nvSpPr>
      <xdr:spPr>
        <a:xfrm>
          <a:off x="6105525" y="844867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142875</xdr:rowOff>
    </xdr:from>
    <xdr:to>
      <xdr:col>13</xdr:col>
      <xdr:colOff>0</xdr:colOff>
      <xdr:row>18</xdr:row>
      <xdr:rowOff>152400</xdr:rowOff>
    </xdr:to>
    <xdr:sp>
      <xdr:nvSpPr>
        <xdr:cNvPr id="22" name="Rectangle 23"/>
        <xdr:cNvSpPr>
          <a:spLocks/>
        </xdr:cNvSpPr>
      </xdr:nvSpPr>
      <xdr:spPr>
        <a:xfrm>
          <a:off x="6105525" y="844867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57150</xdr:rowOff>
    </xdr:from>
    <xdr:to>
      <xdr:col>13</xdr:col>
      <xdr:colOff>0</xdr:colOff>
      <xdr:row>19</xdr:row>
      <xdr:rowOff>66675</xdr:rowOff>
    </xdr:to>
    <xdr:sp>
      <xdr:nvSpPr>
        <xdr:cNvPr id="23" name="Line 24"/>
        <xdr:cNvSpPr>
          <a:spLocks/>
        </xdr:cNvSpPr>
      </xdr:nvSpPr>
      <xdr:spPr>
        <a:xfrm>
          <a:off x="6105525" y="88106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57150</xdr:rowOff>
    </xdr:from>
    <xdr:to>
      <xdr:col>13</xdr:col>
      <xdr:colOff>0</xdr:colOff>
      <xdr:row>19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6105525" y="88106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238125</xdr:rowOff>
    </xdr:from>
    <xdr:to>
      <xdr:col>13</xdr:col>
      <xdr:colOff>0</xdr:colOff>
      <xdr:row>19</xdr:row>
      <xdr:rowOff>247650</xdr:rowOff>
    </xdr:to>
    <xdr:sp>
      <xdr:nvSpPr>
        <xdr:cNvPr id="25" name="Line 26"/>
        <xdr:cNvSpPr>
          <a:spLocks/>
        </xdr:cNvSpPr>
      </xdr:nvSpPr>
      <xdr:spPr>
        <a:xfrm>
          <a:off x="6105525" y="8991600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238125</xdr:rowOff>
    </xdr:from>
    <xdr:to>
      <xdr:col>13</xdr:col>
      <xdr:colOff>0</xdr:colOff>
      <xdr:row>19</xdr:row>
      <xdr:rowOff>247650</xdr:rowOff>
    </xdr:to>
    <xdr:sp>
      <xdr:nvSpPr>
        <xdr:cNvPr id="26" name="Rectangle 27"/>
        <xdr:cNvSpPr>
          <a:spLocks/>
        </xdr:cNvSpPr>
      </xdr:nvSpPr>
      <xdr:spPr>
        <a:xfrm>
          <a:off x="6105525" y="8991600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647700</xdr:colOff>
      <xdr:row>68</xdr:row>
      <xdr:rowOff>171450</xdr:rowOff>
    </xdr:from>
    <xdr:to>
      <xdr:col>25</xdr:col>
      <xdr:colOff>647700</xdr:colOff>
      <xdr:row>71</xdr:row>
      <xdr:rowOff>85725</xdr:rowOff>
    </xdr:to>
    <xdr:sp>
      <xdr:nvSpPr>
        <xdr:cNvPr id="1" name="AutoShape 39"/>
        <xdr:cNvSpPr>
          <a:spLocks/>
        </xdr:cNvSpPr>
      </xdr:nvSpPr>
      <xdr:spPr>
        <a:xfrm>
          <a:off x="9648825" y="20545425"/>
          <a:ext cx="0" cy="800100"/>
        </a:xfrm>
        <a:prstGeom prst="wedgeRoundRectCallout">
          <a:avLst>
            <a:gd name="adj1" fmla="val -76212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需手工填写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011;&#24030;&#24066;2017&#24180;4&#26376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析"/>
      <sheetName val="数据分析表"/>
      <sheetName val="全市支 (2)"/>
      <sheetName val="全市收"/>
      <sheetName val="全市支"/>
      <sheetName val="市级收"/>
      <sheetName val="市级支"/>
      <sheetName val="图561"/>
      <sheetName val="分级收入"/>
      <sheetName val="分级支出"/>
      <sheetName val="构成 "/>
      <sheetName val="全市基金"/>
      <sheetName val="国有资本"/>
      <sheetName val="社会保险"/>
      <sheetName val="企业"/>
      <sheetName val="图12"/>
      <sheetName val="图34"/>
      <sheetName val="图56"/>
    </sheetNames>
    <sheetDataSet>
      <sheetData sheetId="1">
        <row r="1">
          <cell r="J1">
            <v>4</v>
          </cell>
        </row>
        <row r="19">
          <cell r="L19">
            <v>19969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52"/>
  <sheetViews>
    <sheetView showZeros="0" tabSelected="1" view="pageBreakPreview" zoomScaleSheetLayoutView="100" workbookViewId="0" topLeftCell="A1">
      <pane xSplit="1" ySplit="4" topLeftCell="C5" activePane="bottomRight" state="frozen"/>
      <selection pane="topLeft" activeCell="P8" sqref="P8"/>
      <selection pane="topRight" activeCell="P8" sqref="P8"/>
      <selection pane="bottomLeft" activeCell="P8" sqref="P8"/>
      <selection pane="bottomRight" activeCell="A1" sqref="A1:I1"/>
    </sheetView>
  </sheetViews>
  <sheetFormatPr defaultColWidth="9.00390625" defaultRowHeight="23.25" customHeight="1"/>
  <cols>
    <col min="1" max="1" width="23.25390625" style="95" customWidth="1"/>
    <col min="2" max="2" width="8.25390625" style="96" hidden="1" customWidth="1"/>
    <col min="3" max="3" width="8.625" style="96" customWidth="1"/>
    <col min="4" max="4" width="8.125" style="97" customWidth="1"/>
    <col min="5" max="5" width="8.75390625" style="96" customWidth="1"/>
    <col min="6" max="6" width="8.50390625" style="98" customWidth="1"/>
    <col min="7" max="7" width="8.125" style="99" customWidth="1"/>
    <col min="8" max="8" width="9.25390625" style="100" customWidth="1"/>
    <col min="9" max="9" width="8.375" style="101" customWidth="1"/>
    <col min="10" max="11" width="7.875" style="102" hidden="1" customWidth="1"/>
    <col min="12" max="12" width="10.25390625" style="103" hidden="1" customWidth="1"/>
    <col min="13" max="13" width="0" style="104" hidden="1" customWidth="1"/>
    <col min="14" max="14" width="12.375" style="96" hidden="1" customWidth="1"/>
    <col min="15" max="25" width="0" style="96" hidden="1" customWidth="1"/>
    <col min="26" max="16384" width="9.00390625" style="96" customWidth="1"/>
  </cols>
  <sheetData>
    <row r="1" spans="1:13" s="8" customFormat="1" ht="37.5" customHeight="1">
      <c r="A1" s="388" t="str">
        <f>"2017年"&amp;'[1]数据分析表'!J1&amp;"月邓州市一般公共预算收入完成情况表"</f>
        <v>2017年4月邓州市一般公共预算收入完成情况表</v>
      </c>
      <c r="B1" s="388"/>
      <c r="C1" s="388"/>
      <c r="D1" s="388"/>
      <c r="E1" s="388"/>
      <c r="F1" s="388"/>
      <c r="G1" s="388"/>
      <c r="H1" s="388"/>
      <c r="I1" s="388"/>
      <c r="J1" s="5"/>
      <c r="K1" s="5"/>
      <c r="L1" s="6"/>
      <c r="M1" s="7"/>
    </row>
    <row r="2" spans="1:13" s="10" customFormat="1" ht="23.25" customHeight="1">
      <c r="A2" s="9" t="s">
        <v>0</v>
      </c>
      <c r="D2" s="11"/>
      <c r="F2" s="12"/>
      <c r="G2" s="13"/>
      <c r="H2" s="389" t="s">
        <v>1</v>
      </c>
      <c r="I2" s="389"/>
      <c r="J2" s="11"/>
      <c r="K2" s="11"/>
      <c r="M2" s="14"/>
    </row>
    <row r="3" spans="1:21" s="17" customFormat="1" ht="22.5" customHeight="1">
      <c r="A3" s="390" t="s">
        <v>2</v>
      </c>
      <c r="B3" s="381" t="s">
        <v>3</v>
      </c>
      <c r="C3" s="391" t="s">
        <v>3</v>
      </c>
      <c r="D3" s="379" t="s">
        <v>4</v>
      </c>
      <c r="E3" s="383" t="s">
        <v>5</v>
      </c>
      <c r="F3" s="383" t="s">
        <v>6</v>
      </c>
      <c r="G3" s="394" t="s">
        <v>183</v>
      </c>
      <c r="H3" s="380" t="s">
        <v>7</v>
      </c>
      <c r="I3" s="380"/>
      <c r="J3" s="385" t="s">
        <v>8</v>
      </c>
      <c r="K3" s="16"/>
      <c r="L3" s="386" t="s">
        <v>9</v>
      </c>
      <c r="M3" s="393" t="s">
        <v>10</v>
      </c>
      <c r="N3" s="384"/>
      <c r="R3" s="392" t="s">
        <v>11</v>
      </c>
      <c r="S3" s="392"/>
      <c r="T3" s="392" t="s">
        <v>184</v>
      </c>
      <c r="U3" s="392"/>
    </row>
    <row r="4" spans="1:21" s="17" customFormat="1" ht="32.25" customHeight="1">
      <c r="A4" s="390"/>
      <c r="B4" s="382"/>
      <c r="C4" s="378"/>
      <c r="D4" s="379"/>
      <c r="E4" s="205"/>
      <c r="F4" s="390"/>
      <c r="G4" s="394"/>
      <c r="H4" s="15" t="s">
        <v>12</v>
      </c>
      <c r="I4" s="19" t="s">
        <v>13</v>
      </c>
      <c r="J4" s="385"/>
      <c r="K4" s="16"/>
      <c r="L4" s="387"/>
      <c r="M4" s="20" t="s">
        <v>14</v>
      </c>
      <c r="N4" s="21" t="s">
        <v>15</v>
      </c>
      <c r="O4" s="22" t="e">
        <f>IF(#REF!&gt;0,IF(#REF!&gt;0,"增长"&amp;#REF!&amp;"%，增收"&amp;#REF!,"下降"&amp;-#REF!&amp;"%，减收"&amp;-#REF!)&amp;"万元；","")</f>
        <v>#REF!</v>
      </c>
      <c r="R4" s="18" t="s">
        <v>14</v>
      </c>
      <c r="S4" s="18" t="s">
        <v>15</v>
      </c>
      <c r="T4" s="18" t="s">
        <v>14</v>
      </c>
      <c r="U4" s="18" t="s">
        <v>15</v>
      </c>
    </row>
    <row r="5" spans="1:21" s="17" customFormat="1" ht="30" customHeight="1" thickBot="1">
      <c r="A5" s="23" t="s">
        <v>16</v>
      </c>
      <c r="B5" s="23"/>
      <c r="C5" s="24">
        <f>C6+C41+C44</f>
        <v>144390</v>
      </c>
      <c r="D5" s="25">
        <f>D6+D41+D44</f>
        <v>13465</v>
      </c>
      <c r="E5" s="25">
        <f>E6+E41+E44</f>
        <v>67816</v>
      </c>
      <c r="F5" s="25">
        <f>F6+F41+F44</f>
        <v>59169</v>
      </c>
      <c r="G5" s="26" t="s">
        <v>17</v>
      </c>
      <c r="H5" s="27">
        <f aca="true" t="shared" si="0" ref="H5:H47">ROUND(E5/C5*100,1)</f>
        <v>47</v>
      </c>
      <c r="I5" s="27">
        <f aca="true" t="shared" si="1" ref="I5:I24">ROUND((E5-F5)/F5*100,1)</f>
        <v>14.6</v>
      </c>
      <c r="J5" s="28">
        <f>ROUND(E5-F5,0)</f>
        <v>8647</v>
      </c>
      <c r="K5" s="28"/>
      <c r="L5" s="25">
        <v>54351</v>
      </c>
      <c r="M5" s="29"/>
      <c r="N5" s="30"/>
      <c r="O5" s="22" t="e">
        <f>IF(#REF!&gt;0,IF(#REF!&gt;0,"增长"&amp;#REF!&amp;"%，增收"&amp;#REF!,"下降"&amp;-#REF!&amp;"%，减收"&amp;-#REF!)&amp;"万元；","")</f>
        <v>#REF!</v>
      </c>
      <c r="R5" s="18"/>
      <c r="S5" s="18"/>
      <c r="T5" s="18"/>
      <c r="U5" s="18"/>
    </row>
    <row r="6" spans="1:21" s="17" customFormat="1" ht="30.75" customHeight="1" thickTop="1">
      <c r="A6" s="31" t="s">
        <v>185</v>
      </c>
      <c r="B6" s="31"/>
      <c r="C6" s="32">
        <f>SUM(C8,C13,C30)</f>
        <v>137800</v>
      </c>
      <c r="D6" s="33">
        <f>SUM(D8,D13,D30)</f>
        <v>9428</v>
      </c>
      <c r="E6" s="34">
        <f>ROUND(SUM(E8,E13,E30),0)</f>
        <v>49147</v>
      </c>
      <c r="F6" s="33">
        <f>SUM(F8,F13,F30)</f>
        <v>44796</v>
      </c>
      <c r="G6" s="35">
        <v>100</v>
      </c>
      <c r="H6" s="36">
        <f t="shared" si="0"/>
        <v>35.7</v>
      </c>
      <c r="I6" s="36">
        <f t="shared" si="1"/>
        <v>9.7</v>
      </c>
      <c r="J6" s="28">
        <f aca="true" t="shared" si="2" ref="J6:J24">E6-F6</f>
        <v>4351</v>
      </c>
      <c r="K6" s="28">
        <f>E6-C6</f>
        <v>-88653</v>
      </c>
      <c r="L6" s="34">
        <v>39719</v>
      </c>
      <c r="M6" s="29"/>
      <c r="N6" s="30"/>
      <c r="O6" s="22" t="e">
        <f>IF(#REF!&gt;0,IF(#REF!&gt;0,"增长"&amp;#REF!&amp;"%，增收"&amp;#REF!,"下降"&amp;-#REF!&amp;"%，减收"&amp;-#REF!)&amp;"万元；","")</f>
        <v>#REF!</v>
      </c>
      <c r="R6" s="37"/>
      <c r="S6" s="18"/>
      <c r="T6" s="18"/>
      <c r="U6" s="18"/>
    </row>
    <row r="7" spans="1:21" s="17" customFormat="1" ht="30.75" customHeight="1">
      <c r="A7" s="38" t="s">
        <v>18</v>
      </c>
      <c r="B7" s="38"/>
      <c r="C7" s="39">
        <f>C8+C13</f>
        <v>93700</v>
      </c>
      <c r="D7" s="39">
        <f>SUM(D8,D13)</f>
        <v>6378</v>
      </c>
      <c r="E7" s="40">
        <f>SUM(E8,E13)</f>
        <v>31072</v>
      </c>
      <c r="F7" s="39">
        <f>SUM(F8,F13)</f>
        <v>28323</v>
      </c>
      <c r="G7" s="41">
        <f>SUM(G8,G13)</f>
        <v>63.2225771664598</v>
      </c>
      <c r="H7" s="42">
        <f t="shared" si="0"/>
        <v>33.2</v>
      </c>
      <c r="I7" s="42">
        <f t="shared" si="1"/>
        <v>9.7</v>
      </c>
      <c r="J7" s="28">
        <f t="shared" si="2"/>
        <v>2749</v>
      </c>
      <c r="K7" s="28">
        <f>E7-C7</f>
        <v>-62628</v>
      </c>
      <c r="L7" s="39">
        <v>24694</v>
      </c>
      <c r="M7" s="29"/>
      <c r="N7" s="30"/>
      <c r="O7" s="22" t="e">
        <f>IF(#REF!&gt;0,IF(#REF!&gt;0,"增长"&amp;#REF!&amp;"%，增收"&amp;#REF!,"下降"&amp;-#REF!&amp;"%，减收"&amp;-#REF!)&amp;"万元；","")</f>
        <v>#REF!</v>
      </c>
      <c r="R7" s="18"/>
      <c r="S7" s="18"/>
      <c r="T7" s="18"/>
      <c r="U7" s="18"/>
    </row>
    <row r="8" spans="1:21" s="17" customFormat="1" ht="30.75" customHeight="1">
      <c r="A8" s="43" t="s">
        <v>19</v>
      </c>
      <c r="B8" s="38"/>
      <c r="C8" s="39">
        <f>SUM(C9,C11:C12)</f>
        <v>35200</v>
      </c>
      <c r="D8" s="39">
        <f>SUM(D9,D11:D12)</f>
        <v>2868</v>
      </c>
      <c r="E8" s="39">
        <f>SUM(E9,E11:E12)</f>
        <v>11734</v>
      </c>
      <c r="F8" s="39">
        <f>SUM(F9,F11:F12)</f>
        <v>12431</v>
      </c>
      <c r="G8" s="41">
        <f>SUM(G9:G12)</f>
        <v>23.875312836999207</v>
      </c>
      <c r="H8" s="42">
        <f t="shared" si="0"/>
        <v>33.3</v>
      </c>
      <c r="I8" s="42">
        <f t="shared" si="1"/>
        <v>-5.6</v>
      </c>
      <c r="J8" s="28">
        <f t="shared" si="2"/>
        <v>-697</v>
      </c>
      <c r="K8" s="28">
        <f>E8-F8</f>
        <v>-697</v>
      </c>
      <c r="L8" s="39">
        <v>8866</v>
      </c>
      <c r="M8" s="29"/>
      <c r="N8" s="30"/>
      <c r="O8" s="22" t="e">
        <f>IF(#REF!&gt;0,IF(#REF!&gt;0,"增长"&amp;#REF!&amp;"%，增收"&amp;#REF!,"下降"&amp;-#REF!&amp;"%，减收"&amp;-#REF!)&amp;"万元；","")</f>
        <v>#REF!</v>
      </c>
      <c r="R8" s="18"/>
      <c r="S8" s="18"/>
      <c r="T8" s="18"/>
      <c r="U8" s="18"/>
    </row>
    <row r="9" spans="1:21" s="17" customFormat="1" ht="30.75" customHeight="1">
      <c r="A9" s="44" t="s">
        <v>20</v>
      </c>
      <c r="B9" s="38"/>
      <c r="C9" s="45">
        <v>31469</v>
      </c>
      <c r="D9" s="39">
        <f>E9-L9</f>
        <v>2687</v>
      </c>
      <c r="E9" s="45">
        <v>8666</v>
      </c>
      <c r="F9" s="45">
        <v>10658</v>
      </c>
      <c r="G9" s="41">
        <f>E9/E6*100</f>
        <v>17.632815838199686</v>
      </c>
      <c r="H9" s="42">
        <f t="shared" si="0"/>
        <v>27.5</v>
      </c>
      <c r="I9" s="42">
        <f t="shared" si="1"/>
        <v>-18.7</v>
      </c>
      <c r="J9" s="28">
        <f t="shared" si="2"/>
        <v>-1992</v>
      </c>
      <c r="K9" s="28"/>
      <c r="L9" s="45">
        <v>5979</v>
      </c>
      <c r="M9" s="46">
        <v>4648</v>
      </c>
      <c r="N9" s="47">
        <f>E9-M9</f>
        <v>4018</v>
      </c>
      <c r="O9" s="22" t="e">
        <f>IF(#REF!&gt;0,IF(#REF!&gt;0,"增长"&amp;#REF!&amp;"%，增收"&amp;#REF!,"下降"&amp;-#REF!&amp;"%，减收"&amp;-#REF!)&amp;"万元；","")</f>
        <v>#REF!</v>
      </c>
      <c r="R9" s="18">
        <v>5110</v>
      </c>
      <c r="S9" s="37">
        <f>F9-R9</f>
        <v>5548</v>
      </c>
      <c r="T9" s="18"/>
      <c r="U9" s="37">
        <f>C9-T9</f>
        <v>31469</v>
      </c>
    </row>
    <row r="10" spans="1:21" s="17" customFormat="1" ht="30.75" customHeight="1">
      <c r="A10" s="48" t="s">
        <v>186</v>
      </c>
      <c r="B10" s="49"/>
      <c r="C10" s="45">
        <v>18275</v>
      </c>
      <c r="D10" s="39">
        <f>E10-L10</f>
        <v>1261</v>
      </c>
      <c r="E10" s="45">
        <v>4722</v>
      </c>
      <c r="F10" s="45">
        <v>6578</v>
      </c>
      <c r="G10" s="41"/>
      <c r="H10" s="42">
        <f t="shared" si="0"/>
        <v>25.8</v>
      </c>
      <c r="I10" s="42">
        <f t="shared" si="1"/>
        <v>-28.2</v>
      </c>
      <c r="J10" s="28">
        <f t="shared" si="2"/>
        <v>-1856</v>
      </c>
      <c r="K10" s="28"/>
      <c r="L10" s="45">
        <v>3461</v>
      </c>
      <c r="M10" s="50">
        <v>2621</v>
      </c>
      <c r="N10" s="51">
        <f>E10-M10</f>
        <v>2101</v>
      </c>
      <c r="O10" s="22" t="e">
        <f>IF(#REF!&gt;0,IF(#REF!&gt;0,"增长"&amp;#REF!&amp;"%，增收"&amp;#REF!,"下降"&amp;-#REF!&amp;"%，减收"&amp;-#REF!)&amp;"万元；","")</f>
        <v>#REF!</v>
      </c>
      <c r="R10" s="52">
        <v>3529</v>
      </c>
      <c r="S10" s="37">
        <f>F10-R10</f>
        <v>3049</v>
      </c>
      <c r="T10" s="18"/>
      <c r="U10" s="37">
        <f>C10-T10</f>
        <v>18275</v>
      </c>
    </row>
    <row r="11" spans="1:21" s="17" customFormat="1" ht="30.75" customHeight="1">
      <c r="A11" s="44" t="s">
        <v>21</v>
      </c>
      <c r="B11" s="38"/>
      <c r="C11" s="45">
        <v>3731</v>
      </c>
      <c r="D11" s="39">
        <f>E11-L11</f>
        <v>181</v>
      </c>
      <c r="E11" s="45">
        <v>3068</v>
      </c>
      <c r="F11" s="45">
        <v>1773</v>
      </c>
      <c r="G11" s="41">
        <f>E11/E6*100</f>
        <v>6.24249699879952</v>
      </c>
      <c r="H11" s="42">
        <f t="shared" si="0"/>
        <v>82.2</v>
      </c>
      <c r="I11" s="42">
        <f t="shared" si="1"/>
        <v>73</v>
      </c>
      <c r="J11" s="28">
        <f t="shared" si="2"/>
        <v>1295</v>
      </c>
      <c r="K11" s="28"/>
      <c r="L11" s="45">
        <v>2887</v>
      </c>
      <c r="M11" s="46">
        <v>1065</v>
      </c>
      <c r="N11" s="47">
        <f>E11-M11</f>
        <v>2003</v>
      </c>
      <c r="O11" s="53" t="e">
        <f>IF(#REF!&gt;0,#REF!&amp;"完成"&amp;#REF!&amp;"万元，为预算的"&amp;#REF!&amp;"%","")&amp;IF(#REF!&gt;0,IF(#REF!&gt;0,"，增长"&amp;#REF!&amp;"%，增收"&amp;#REF!,"，下降"&amp;-#REF!&amp;"%，减收"&amp;-#REF!)&amp;"万元","")&amp;IF(#REF!&gt;0,"；","")</f>
        <v>#REF!</v>
      </c>
      <c r="R11" s="18">
        <v>323</v>
      </c>
      <c r="S11" s="37">
        <f>F11-R11</f>
        <v>1450</v>
      </c>
      <c r="T11" s="18"/>
      <c r="U11" s="37">
        <f>C11-T11</f>
        <v>3731</v>
      </c>
    </row>
    <row r="12" spans="1:21" s="17" customFormat="1" ht="30.75" customHeight="1" hidden="1">
      <c r="A12" s="44" t="s">
        <v>22</v>
      </c>
      <c r="B12" s="38"/>
      <c r="C12" s="45"/>
      <c r="D12" s="39">
        <f>E12-L12</f>
        <v>0</v>
      </c>
      <c r="E12" s="45"/>
      <c r="F12" s="45"/>
      <c r="G12" s="41">
        <f>E12/E6*100</f>
        <v>0</v>
      </c>
      <c r="H12" s="42" t="e">
        <f t="shared" si="0"/>
        <v>#DIV/0!</v>
      </c>
      <c r="I12" s="42" t="e">
        <f t="shared" si="1"/>
        <v>#DIV/0!</v>
      </c>
      <c r="J12" s="28">
        <f t="shared" si="2"/>
        <v>0</v>
      </c>
      <c r="K12" s="28"/>
      <c r="L12" s="45"/>
      <c r="M12" s="29"/>
      <c r="N12" s="47">
        <v>0</v>
      </c>
      <c r="R12" s="18"/>
      <c r="S12" s="37">
        <f>F12-R12</f>
        <v>0</v>
      </c>
      <c r="T12" s="18"/>
      <c r="U12" s="37">
        <f>C12-T12</f>
        <v>0</v>
      </c>
    </row>
    <row r="13" spans="1:21" s="17" customFormat="1" ht="30.75" customHeight="1">
      <c r="A13" s="43" t="s">
        <v>23</v>
      </c>
      <c r="B13" s="38"/>
      <c r="C13" s="39">
        <f>C14+C26+C27</f>
        <v>58500</v>
      </c>
      <c r="D13" s="39">
        <f>D14+D26+D27</f>
        <v>3510</v>
      </c>
      <c r="E13" s="54">
        <f>E14+E26+E27</f>
        <v>19338</v>
      </c>
      <c r="F13" s="39">
        <f>F14+F26+F27</f>
        <v>15892</v>
      </c>
      <c r="G13" s="41">
        <f>E13/E6*100</f>
        <v>39.34726432946059</v>
      </c>
      <c r="H13" s="42">
        <f t="shared" si="0"/>
        <v>33.1</v>
      </c>
      <c r="I13" s="42">
        <f t="shared" si="1"/>
        <v>21.7</v>
      </c>
      <c r="J13" s="28">
        <f t="shared" si="2"/>
        <v>3446</v>
      </c>
      <c r="K13" s="28">
        <f>E13-F13</f>
        <v>3446</v>
      </c>
      <c r="L13" s="54">
        <v>15828</v>
      </c>
      <c r="M13" s="29"/>
      <c r="N13" s="47"/>
      <c r="R13" s="18"/>
      <c r="S13" s="37"/>
      <c r="T13" s="18"/>
      <c r="U13" s="37"/>
    </row>
    <row r="14" spans="1:21" s="17" customFormat="1" ht="30.75" customHeight="1">
      <c r="A14" s="43" t="s">
        <v>24</v>
      </c>
      <c r="B14" s="38"/>
      <c r="C14" s="39">
        <f>SUM(C15:C25)</f>
        <v>20517</v>
      </c>
      <c r="D14" s="39">
        <f>SUM(D15:D25)</f>
        <v>1641</v>
      </c>
      <c r="E14" s="39">
        <f>SUM(E15:E25)</f>
        <v>8235</v>
      </c>
      <c r="F14" s="39">
        <f>SUM(F15:F25)</f>
        <v>6332</v>
      </c>
      <c r="G14" s="41">
        <f>E14/E6*100</f>
        <v>16.755854884326613</v>
      </c>
      <c r="H14" s="42">
        <f t="shared" si="0"/>
        <v>40.1</v>
      </c>
      <c r="I14" s="42">
        <f t="shared" si="1"/>
        <v>30.1</v>
      </c>
      <c r="J14" s="28">
        <f t="shared" si="2"/>
        <v>1903</v>
      </c>
      <c r="K14" s="28"/>
      <c r="L14" s="39">
        <v>6594</v>
      </c>
      <c r="M14" s="55"/>
      <c r="N14" s="47"/>
      <c r="O14" s="22" t="e">
        <f>IF(#REF!&gt;0,IF(#REF!&gt;0,"增长"&amp;#REF!&amp;"%，增收"&amp;#REF!,"下降"&amp;-#REF!&amp;"%，减收"&amp;-#REF!)&amp;"万元；","")</f>
        <v>#REF!</v>
      </c>
      <c r="R14" s="18"/>
      <c r="S14" s="37"/>
      <c r="T14" s="18"/>
      <c r="U14" s="37"/>
    </row>
    <row r="15" spans="1:21" s="17" customFormat="1" ht="30.75" customHeight="1">
      <c r="A15" s="44" t="s">
        <v>25</v>
      </c>
      <c r="B15" s="38"/>
      <c r="C15" s="56"/>
      <c r="D15" s="39">
        <f aca="true" t="shared" si="3" ref="D15:D26">E15-L15</f>
        <v>0</v>
      </c>
      <c r="E15" s="45">
        <v>2</v>
      </c>
      <c r="F15" s="45"/>
      <c r="G15" s="41">
        <f>E15/E6*100</f>
        <v>0.00406942437992146</v>
      </c>
      <c r="H15" s="42" t="e">
        <f t="shared" si="0"/>
        <v>#DIV/0!</v>
      </c>
      <c r="I15" s="42" t="e">
        <f t="shared" si="1"/>
        <v>#DIV/0!</v>
      </c>
      <c r="J15" s="28">
        <f t="shared" si="2"/>
        <v>2</v>
      </c>
      <c r="K15" s="28"/>
      <c r="L15" s="45">
        <v>2</v>
      </c>
      <c r="M15" s="55"/>
      <c r="N15" s="47">
        <f aca="true" t="shared" si="4" ref="N15:N26">E15-M15</f>
        <v>2</v>
      </c>
      <c r="O15" s="22" t="e">
        <f>IF(#REF!&gt;0,IF(#REF!&gt;0,"增长"&amp;#REF!&amp;"%，增收"&amp;#REF!,"下降"&amp;-#REF!&amp;"%，减收"&amp;-#REF!)&amp;"万元；","")</f>
        <v>#REF!</v>
      </c>
      <c r="R15" s="18"/>
      <c r="S15" s="37">
        <f aca="true" t="shared" si="5" ref="S15:S26">F15-R15</f>
        <v>0</v>
      </c>
      <c r="T15" s="18"/>
      <c r="U15" s="37">
        <f aca="true" t="shared" si="6" ref="U15:U24">C15-T15</f>
        <v>0</v>
      </c>
    </row>
    <row r="16" spans="1:21" s="17" customFormat="1" ht="30.75" customHeight="1">
      <c r="A16" s="44" t="s">
        <v>21</v>
      </c>
      <c r="B16" s="38"/>
      <c r="C16" s="56">
        <v>2967</v>
      </c>
      <c r="D16" s="39">
        <f t="shared" si="3"/>
        <v>187</v>
      </c>
      <c r="E16" s="45">
        <v>747</v>
      </c>
      <c r="F16" s="45">
        <v>1252</v>
      </c>
      <c r="G16" s="41">
        <f>E16/E6*100</f>
        <v>1.5199300059006653</v>
      </c>
      <c r="H16" s="42">
        <f t="shared" si="0"/>
        <v>25.2</v>
      </c>
      <c r="I16" s="42">
        <f t="shared" si="1"/>
        <v>-40.3</v>
      </c>
      <c r="J16" s="28">
        <f t="shared" si="2"/>
        <v>-505</v>
      </c>
      <c r="K16" s="28"/>
      <c r="L16" s="45">
        <v>560</v>
      </c>
      <c r="M16" s="55">
        <v>177</v>
      </c>
      <c r="N16" s="47">
        <f t="shared" si="4"/>
        <v>570</v>
      </c>
      <c r="O16" s="57"/>
      <c r="R16" s="18">
        <v>887</v>
      </c>
      <c r="S16" s="37">
        <f t="shared" si="5"/>
        <v>365</v>
      </c>
      <c r="T16" s="18"/>
      <c r="U16" s="37">
        <f t="shared" si="6"/>
        <v>2967</v>
      </c>
    </row>
    <row r="17" spans="1:21" s="17" customFormat="1" ht="30.75" customHeight="1">
      <c r="A17" s="44" t="s">
        <v>26</v>
      </c>
      <c r="B17" s="38"/>
      <c r="C17" s="45">
        <v>1360</v>
      </c>
      <c r="D17" s="39">
        <f t="shared" si="3"/>
        <v>109</v>
      </c>
      <c r="E17" s="45">
        <v>767</v>
      </c>
      <c r="F17" s="45">
        <v>591</v>
      </c>
      <c r="G17" s="41">
        <f>E17/E6*100</f>
        <v>1.56062424969988</v>
      </c>
      <c r="H17" s="42">
        <f t="shared" si="0"/>
        <v>56.4</v>
      </c>
      <c r="I17" s="42">
        <f t="shared" si="1"/>
        <v>29.8</v>
      </c>
      <c r="J17" s="28">
        <f t="shared" si="2"/>
        <v>176</v>
      </c>
      <c r="K17" s="28"/>
      <c r="L17" s="45">
        <v>658</v>
      </c>
      <c r="M17" s="55">
        <v>207</v>
      </c>
      <c r="N17" s="47">
        <f t="shared" si="4"/>
        <v>560</v>
      </c>
      <c r="O17" s="57"/>
      <c r="R17" s="18">
        <v>280</v>
      </c>
      <c r="S17" s="37">
        <f t="shared" si="5"/>
        <v>311</v>
      </c>
      <c r="T17" s="18"/>
      <c r="U17" s="37">
        <f t="shared" si="6"/>
        <v>1360</v>
      </c>
    </row>
    <row r="18" spans="1:21" s="17" customFormat="1" ht="30.75" customHeight="1">
      <c r="A18" s="44" t="s">
        <v>27</v>
      </c>
      <c r="B18" s="38"/>
      <c r="C18" s="45">
        <v>730</v>
      </c>
      <c r="D18" s="39">
        <f t="shared" si="3"/>
        <v>24</v>
      </c>
      <c r="E18" s="45">
        <v>84</v>
      </c>
      <c r="F18" s="45">
        <v>52</v>
      </c>
      <c r="G18" s="41">
        <f>E18/E6*100</f>
        <v>0.17091582395670132</v>
      </c>
      <c r="H18" s="42">
        <f t="shared" si="0"/>
        <v>11.5</v>
      </c>
      <c r="I18" s="42">
        <f t="shared" si="1"/>
        <v>61.5</v>
      </c>
      <c r="J18" s="28">
        <f t="shared" si="2"/>
        <v>32</v>
      </c>
      <c r="K18" s="28"/>
      <c r="L18" s="45">
        <v>60</v>
      </c>
      <c r="M18" s="55">
        <v>84</v>
      </c>
      <c r="N18" s="47">
        <f t="shared" si="4"/>
        <v>0</v>
      </c>
      <c r="O18" s="22" t="e">
        <f>IF(#REF!&gt;0,IF(#REF!&gt;0,"增长"&amp;#REF!&amp;"%，增收"&amp;#REF!,"下降"&amp;-#REF!&amp;"%，减收"&amp;-#REF!)&amp;"万元；","")</f>
        <v>#REF!</v>
      </c>
      <c r="R18" s="18">
        <v>8</v>
      </c>
      <c r="S18" s="37">
        <f t="shared" si="5"/>
        <v>44</v>
      </c>
      <c r="T18" s="18"/>
      <c r="U18" s="37">
        <f t="shared" si="6"/>
        <v>730</v>
      </c>
    </row>
    <row r="19" spans="1:21" s="17" customFormat="1" ht="30.75" customHeight="1">
      <c r="A19" s="44" t="s">
        <v>28</v>
      </c>
      <c r="B19" s="38"/>
      <c r="C19" s="45">
        <v>3180</v>
      </c>
      <c r="D19" s="39">
        <f t="shared" si="3"/>
        <v>371</v>
      </c>
      <c r="E19" s="45">
        <v>1107</v>
      </c>
      <c r="F19" s="45">
        <v>1158</v>
      </c>
      <c r="G19" s="41">
        <f>E19/E6*100</f>
        <v>2.252426394286528</v>
      </c>
      <c r="H19" s="42">
        <f t="shared" si="0"/>
        <v>34.8</v>
      </c>
      <c r="I19" s="42">
        <f t="shared" si="1"/>
        <v>-4.4</v>
      </c>
      <c r="J19" s="28">
        <f t="shared" si="2"/>
        <v>-51</v>
      </c>
      <c r="K19" s="28"/>
      <c r="L19" s="45">
        <v>736</v>
      </c>
      <c r="M19" s="55">
        <v>485</v>
      </c>
      <c r="N19" s="47">
        <f t="shared" si="4"/>
        <v>622</v>
      </c>
      <c r="R19" s="18">
        <v>468</v>
      </c>
      <c r="S19" s="37">
        <f t="shared" si="5"/>
        <v>690</v>
      </c>
      <c r="T19" s="18"/>
      <c r="U19" s="37">
        <f t="shared" si="6"/>
        <v>3180</v>
      </c>
    </row>
    <row r="20" spans="1:21" s="17" customFormat="1" ht="30.75" customHeight="1">
      <c r="A20" s="44" t="s">
        <v>29</v>
      </c>
      <c r="B20" s="38"/>
      <c r="C20" s="45">
        <v>1600</v>
      </c>
      <c r="D20" s="39">
        <f t="shared" si="3"/>
        <v>157</v>
      </c>
      <c r="E20" s="45">
        <v>599</v>
      </c>
      <c r="F20" s="45">
        <v>422</v>
      </c>
      <c r="G20" s="41">
        <f>E20/E6*100</f>
        <v>1.2187926017864774</v>
      </c>
      <c r="H20" s="42">
        <f t="shared" si="0"/>
        <v>37.4</v>
      </c>
      <c r="I20" s="42">
        <f t="shared" si="1"/>
        <v>41.9</v>
      </c>
      <c r="J20" s="28">
        <f t="shared" si="2"/>
        <v>177</v>
      </c>
      <c r="K20" s="28"/>
      <c r="L20" s="45">
        <v>442</v>
      </c>
      <c r="M20" s="55">
        <v>288</v>
      </c>
      <c r="N20" s="47">
        <f t="shared" si="4"/>
        <v>311</v>
      </c>
      <c r="R20" s="18">
        <v>217</v>
      </c>
      <c r="S20" s="37">
        <f t="shared" si="5"/>
        <v>205</v>
      </c>
      <c r="T20" s="18"/>
      <c r="U20" s="37">
        <f t="shared" si="6"/>
        <v>1600</v>
      </c>
    </row>
    <row r="21" spans="1:21" s="17" customFormat="1" ht="30.75" customHeight="1">
      <c r="A21" s="44" t="s">
        <v>30</v>
      </c>
      <c r="B21" s="38"/>
      <c r="C21" s="45">
        <v>580</v>
      </c>
      <c r="D21" s="39">
        <f t="shared" si="3"/>
        <v>37</v>
      </c>
      <c r="E21" s="45">
        <v>237</v>
      </c>
      <c r="F21" s="45">
        <v>162</v>
      </c>
      <c r="G21" s="41">
        <f>E21/E6*100</f>
        <v>0.48222678902069305</v>
      </c>
      <c r="H21" s="42">
        <f t="shared" si="0"/>
        <v>40.9</v>
      </c>
      <c r="I21" s="42">
        <f t="shared" si="1"/>
        <v>46.3</v>
      </c>
      <c r="J21" s="28">
        <f t="shared" si="2"/>
        <v>75</v>
      </c>
      <c r="K21" s="28"/>
      <c r="L21" s="45">
        <v>200</v>
      </c>
      <c r="M21" s="55">
        <v>142</v>
      </c>
      <c r="N21" s="47">
        <f t="shared" si="4"/>
        <v>95</v>
      </c>
      <c r="R21" s="18">
        <v>109</v>
      </c>
      <c r="S21" s="37">
        <f t="shared" si="5"/>
        <v>53</v>
      </c>
      <c r="T21" s="18"/>
      <c r="U21" s="37">
        <f t="shared" si="6"/>
        <v>580</v>
      </c>
    </row>
    <row r="22" spans="1:21" s="17" customFormat="1" ht="30.75" customHeight="1">
      <c r="A22" s="44" t="s">
        <v>31</v>
      </c>
      <c r="B22" s="38"/>
      <c r="C22" s="45">
        <v>5800</v>
      </c>
      <c r="D22" s="39">
        <f t="shared" si="3"/>
        <v>441</v>
      </c>
      <c r="E22" s="45">
        <v>3258</v>
      </c>
      <c r="F22" s="45">
        <v>1300</v>
      </c>
      <c r="G22" s="41">
        <f>E22/E6*100</f>
        <v>6.629092314892058</v>
      </c>
      <c r="H22" s="42">
        <f t="shared" si="0"/>
        <v>56.2</v>
      </c>
      <c r="I22" s="42">
        <f t="shared" si="1"/>
        <v>150.6</v>
      </c>
      <c r="J22" s="28">
        <f t="shared" si="2"/>
        <v>1958</v>
      </c>
      <c r="K22" s="28"/>
      <c r="L22" s="45">
        <v>2817</v>
      </c>
      <c r="M22" s="55">
        <v>1685</v>
      </c>
      <c r="N22" s="47">
        <f t="shared" si="4"/>
        <v>1573</v>
      </c>
      <c r="O22" s="22" t="e">
        <f>IF(#REF!&gt;0,IF(#REF!&gt;0,"增长"&amp;#REF!&amp;"%，增收"&amp;#REF!,"同比下降"&amp;-#REF!&amp;"%，减收"&amp;-#REF!)&amp;"万元；","")</f>
        <v>#REF!</v>
      </c>
      <c r="R22" s="18">
        <v>817</v>
      </c>
      <c r="S22" s="37">
        <f t="shared" si="5"/>
        <v>483</v>
      </c>
      <c r="T22" s="18"/>
      <c r="U22" s="37">
        <f t="shared" si="6"/>
        <v>5800</v>
      </c>
    </row>
    <row r="23" spans="1:21" s="17" customFormat="1" ht="30.75" customHeight="1">
      <c r="A23" s="44" t="s">
        <v>32</v>
      </c>
      <c r="B23" s="38"/>
      <c r="C23" s="45">
        <v>3000</v>
      </c>
      <c r="D23" s="39">
        <f t="shared" si="3"/>
        <v>207</v>
      </c>
      <c r="E23" s="45">
        <v>941</v>
      </c>
      <c r="F23" s="45">
        <v>984</v>
      </c>
      <c r="G23" s="41">
        <f>E23/E6*100</f>
        <v>1.914664170753047</v>
      </c>
      <c r="H23" s="42">
        <f t="shared" si="0"/>
        <v>31.4</v>
      </c>
      <c r="I23" s="42">
        <f t="shared" si="1"/>
        <v>-4.4</v>
      </c>
      <c r="J23" s="28">
        <f t="shared" si="2"/>
        <v>-43</v>
      </c>
      <c r="K23" s="28"/>
      <c r="L23" s="45">
        <v>734</v>
      </c>
      <c r="M23" s="55">
        <v>259</v>
      </c>
      <c r="N23" s="47">
        <f t="shared" si="4"/>
        <v>682</v>
      </c>
      <c r="O23" s="22" t="e">
        <f>IF(#REF!&gt;0,IF(#REF!&gt;0,"增长"&amp;#REF!&amp;"%，增收"&amp;#REF!,"同比下降"&amp;-#REF!&amp;"%，减收"&amp;-#REF!)&amp;"万元；","")</f>
        <v>#REF!</v>
      </c>
      <c r="R23" s="18">
        <v>63</v>
      </c>
      <c r="S23" s="37">
        <f t="shared" si="5"/>
        <v>921</v>
      </c>
      <c r="T23" s="18"/>
      <c r="U23" s="37">
        <f t="shared" si="6"/>
        <v>3000</v>
      </c>
    </row>
    <row r="24" spans="1:21" s="17" customFormat="1" ht="30.75" customHeight="1">
      <c r="A24" s="44" t="s">
        <v>33</v>
      </c>
      <c r="B24" s="38"/>
      <c r="C24" s="45">
        <v>1200</v>
      </c>
      <c r="D24" s="39">
        <f t="shared" si="3"/>
        <v>103</v>
      </c>
      <c r="E24" s="45">
        <v>470</v>
      </c>
      <c r="F24" s="45">
        <v>411</v>
      </c>
      <c r="G24" s="41">
        <f>E24/E6*100</f>
        <v>0.956314729281543</v>
      </c>
      <c r="H24" s="42">
        <f t="shared" si="0"/>
        <v>39.2</v>
      </c>
      <c r="I24" s="42">
        <f t="shared" si="1"/>
        <v>14.4</v>
      </c>
      <c r="J24" s="28">
        <f t="shared" si="2"/>
        <v>59</v>
      </c>
      <c r="K24" s="28"/>
      <c r="L24" s="45">
        <v>367</v>
      </c>
      <c r="M24" s="55"/>
      <c r="N24" s="47">
        <f t="shared" si="4"/>
        <v>470</v>
      </c>
      <c r="O24" s="22" t="e">
        <f>IF(#REF!&gt;0,IF(#REF!&gt;0,"增长"&amp;#REF!&amp;"%，增收"&amp;#REF!,"同比下降"&amp;-#REF!&amp;"%，减收"&amp;-#REF!)&amp;"万元；","")</f>
        <v>#REF!</v>
      </c>
      <c r="R24" s="18">
        <v>88</v>
      </c>
      <c r="S24" s="37">
        <f t="shared" si="5"/>
        <v>323</v>
      </c>
      <c r="T24" s="18"/>
      <c r="U24" s="37">
        <f t="shared" si="6"/>
        <v>1200</v>
      </c>
    </row>
    <row r="25" spans="1:21" s="17" customFormat="1" ht="30.75" customHeight="1">
      <c r="A25" s="44" t="s">
        <v>187</v>
      </c>
      <c r="B25" s="38"/>
      <c r="C25" s="45">
        <v>100</v>
      </c>
      <c r="D25" s="39">
        <f t="shared" si="3"/>
        <v>5</v>
      </c>
      <c r="E25" s="45">
        <v>23</v>
      </c>
      <c r="F25" s="45"/>
      <c r="G25" s="41"/>
      <c r="H25" s="42">
        <f t="shared" si="0"/>
        <v>23</v>
      </c>
      <c r="I25" s="42"/>
      <c r="J25" s="28"/>
      <c r="K25" s="28"/>
      <c r="L25" s="45">
        <v>18</v>
      </c>
      <c r="M25" s="55">
        <v>23</v>
      </c>
      <c r="N25" s="47">
        <f t="shared" si="4"/>
        <v>0</v>
      </c>
      <c r="O25" s="22"/>
      <c r="R25" s="18"/>
      <c r="S25" s="37">
        <f t="shared" si="5"/>
        <v>0</v>
      </c>
      <c r="T25" s="18"/>
      <c r="U25" s="37"/>
    </row>
    <row r="26" spans="1:21" s="17" customFormat="1" ht="30.75" customHeight="1">
      <c r="A26" s="58" t="s">
        <v>34</v>
      </c>
      <c r="B26" s="38"/>
      <c r="C26" s="45">
        <v>1350</v>
      </c>
      <c r="D26" s="39">
        <f t="shared" si="3"/>
        <v>0</v>
      </c>
      <c r="E26" s="45"/>
      <c r="F26" s="45"/>
      <c r="G26" s="41">
        <f>E26/E6*100</f>
        <v>0</v>
      </c>
      <c r="H26" s="42">
        <f t="shared" si="0"/>
        <v>0</v>
      </c>
      <c r="I26" s="42" t="e">
        <f aca="true" t="shared" si="7" ref="I26:I47">ROUND((E26-F26)/F26*100,1)</f>
        <v>#DIV/0!</v>
      </c>
      <c r="J26" s="28">
        <f aca="true" t="shared" si="8" ref="J26:J47">E26-F26</f>
        <v>0</v>
      </c>
      <c r="K26" s="28"/>
      <c r="L26" s="45"/>
      <c r="M26" s="29"/>
      <c r="N26" s="47">
        <f t="shared" si="4"/>
        <v>0</v>
      </c>
      <c r="O26" s="22" t="e">
        <f>IF(#REF!&gt;0,IF(#REF!&gt;0,"增长"&amp;#REF!&amp;"%，增收"&amp;#REF!,"同比下降"&amp;-#REF!&amp;"%，减收"&amp;-#REF!)&amp;"万元；","")</f>
        <v>#REF!</v>
      </c>
      <c r="R26" s="18"/>
      <c r="S26" s="37">
        <f t="shared" si="5"/>
        <v>0</v>
      </c>
      <c r="T26" s="18"/>
      <c r="U26" s="37">
        <f>C26-T26</f>
        <v>1350</v>
      </c>
    </row>
    <row r="27" spans="1:21" s="17" customFormat="1" ht="30.75" customHeight="1">
      <c r="A27" s="43" t="s">
        <v>35</v>
      </c>
      <c r="B27" s="38"/>
      <c r="C27" s="39">
        <f>C28+C29</f>
        <v>36633</v>
      </c>
      <c r="D27" s="39">
        <f>D28+D29</f>
        <v>1869</v>
      </c>
      <c r="E27" s="39">
        <f>E28+E29</f>
        <v>11103</v>
      </c>
      <c r="F27" s="39">
        <f>F28+F29</f>
        <v>9560</v>
      </c>
      <c r="G27" s="41">
        <f>SUM(G28:G29)</f>
        <v>22.591409445133984</v>
      </c>
      <c r="H27" s="42">
        <f t="shared" si="0"/>
        <v>30.3</v>
      </c>
      <c r="I27" s="42">
        <f t="shared" si="7"/>
        <v>16.1</v>
      </c>
      <c r="J27" s="28">
        <f t="shared" si="8"/>
        <v>1543</v>
      </c>
      <c r="K27" s="28"/>
      <c r="L27" s="39">
        <v>9234</v>
      </c>
      <c r="M27" s="59"/>
      <c r="N27" s="47"/>
      <c r="O27" s="22" t="e">
        <f>IF(#REF!&gt;0,IF(#REF!&gt;0,"增长"&amp;#REF!&amp;"%，增收"&amp;#REF!,"同比下降"&amp;-#REF!&amp;"%，减收"&amp;-#REF!)&amp;"万元；","")</f>
        <v>#REF!</v>
      </c>
      <c r="R27" s="18"/>
      <c r="S27" s="37"/>
      <c r="T27" s="18"/>
      <c r="U27" s="37"/>
    </row>
    <row r="28" spans="1:21" s="17" customFormat="1" ht="30.75" customHeight="1">
      <c r="A28" s="44" t="s">
        <v>36</v>
      </c>
      <c r="B28" s="38"/>
      <c r="C28" s="45">
        <v>33205</v>
      </c>
      <c r="D28" s="39">
        <f>E28-L28</f>
        <v>1049</v>
      </c>
      <c r="E28" s="45">
        <v>8815</v>
      </c>
      <c r="F28" s="45">
        <v>7455</v>
      </c>
      <c r="G28" s="41">
        <f>E28/E6*100</f>
        <v>17.935987954503833</v>
      </c>
      <c r="H28" s="42">
        <f t="shared" si="0"/>
        <v>26.5</v>
      </c>
      <c r="I28" s="42">
        <f t="shared" si="7"/>
        <v>18.2</v>
      </c>
      <c r="J28" s="28">
        <f t="shared" si="8"/>
        <v>1360</v>
      </c>
      <c r="K28" s="28"/>
      <c r="L28" s="45">
        <v>7766</v>
      </c>
      <c r="M28" s="59">
        <v>885</v>
      </c>
      <c r="N28" s="47">
        <f>E28-M28</f>
        <v>7930</v>
      </c>
      <c r="R28" s="18">
        <v>134</v>
      </c>
      <c r="S28" s="37">
        <f>F28-R28</f>
        <v>7321</v>
      </c>
      <c r="T28" s="18"/>
      <c r="U28" s="37">
        <f>C28-T28</f>
        <v>33205</v>
      </c>
    </row>
    <row r="29" spans="1:21" s="17" customFormat="1" ht="30.75" customHeight="1">
      <c r="A29" s="44" t="s">
        <v>37</v>
      </c>
      <c r="B29" s="38"/>
      <c r="C29" s="45">
        <v>3428</v>
      </c>
      <c r="D29" s="39">
        <f>E29-L29</f>
        <v>820</v>
      </c>
      <c r="E29" s="45">
        <v>2288</v>
      </c>
      <c r="F29" s="45">
        <v>2105</v>
      </c>
      <c r="G29" s="41">
        <f>E29/E6*100</f>
        <v>4.65542149063015</v>
      </c>
      <c r="H29" s="42">
        <f t="shared" si="0"/>
        <v>66.7</v>
      </c>
      <c r="I29" s="42">
        <f t="shared" si="7"/>
        <v>8.7</v>
      </c>
      <c r="J29" s="28">
        <f t="shared" si="8"/>
        <v>183</v>
      </c>
      <c r="K29" s="28">
        <f>E29-C29</f>
        <v>-1140</v>
      </c>
      <c r="L29" s="45">
        <v>1468</v>
      </c>
      <c r="M29" s="60">
        <v>1317</v>
      </c>
      <c r="N29" s="47">
        <f>E29-M29</f>
        <v>971</v>
      </c>
      <c r="R29" s="18">
        <v>152</v>
      </c>
      <c r="S29" s="37">
        <f>F29-R29</f>
        <v>1953</v>
      </c>
      <c r="T29" s="18"/>
      <c r="U29" s="37">
        <f>C29-T29</f>
        <v>3428</v>
      </c>
    </row>
    <row r="30" spans="1:21" s="17" customFormat="1" ht="30.75" customHeight="1">
      <c r="A30" s="43" t="s">
        <v>38</v>
      </c>
      <c r="B30" s="38"/>
      <c r="C30" s="39">
        <f>SUM(C31,C36:C38,C39:C40)</f>
        <v>44100</v>
      </c>
      <c r="D30" s="39">
        <f>SUM(D31,D36:D38,D39:D40)</f>
        <v>3050</v>
      </c>
      <c r="E30" s="39">
        <f>SUM(E31,E36:E38,E39:E40)</f>
        <v>18075</v>
      </c>
      <c r="F30" s="39">
        <f>SUM(F31,F36:F38,F39:F40)</f>
        <v>16473</v>
      </c>
      <c r="G30" s="41">
        <f>E30/E6*100</f>
        <v>36.7774228335402</v>
      </c>
      <c r="H30" s="42">
        <f t="shared" si="0"/>
        <v>41</v>
      </c>
      <c r="I30" s="42">
        <f t="shared" si="7"/>
        <v>9.7</v>
      </c>
      <c r="J30" s="28">
        <f t="shared" si="8"/>
        <v>1602</v>
      </c>
      <c r="K30" s="28">
        <f>E30-C30</f>
        <v>-26025</v>
      </c>
      <c r="L30" s="39">
        <v>15025</v>
      </c>
      <c r="M30" s="60"/>
      <c r="N30" s="47"/>
      <c r="R30" s="18"/>
      <c r="S30" s="37"/>
      <c r="T30" s="18"/>
      <c r="U30" s="37"/>
    </row>
    <row r="31" spans="1:21" s="17" customFormat="1" ht="30.75" customHeight="1">
      <c r="A31" s="44" t="s">
        <v>39</v>
      </c>
      <c r="B31" s="38"/>
      <c r="C31" s="45">
        <v>2900</v>
      </c>
      <c r="D31" s="39">
        <f aca="true" t="shared" si="9" ref="D31:D44">E31-L31</f>
        <v>67</v>
      </c>
      <c r="E31" s="45">
        <v>1500</v>
      </c>
      <c r="F31" s="45">
        <v>1045</v>
      </c>
      <c r="G31" s="41">
        <f>E31/E6*100</f>
        <v>3.052068284941095</v>
      </c>
      <c r="H31" s="42">
        <f t="shared" si="0"/>
        <v>51.7</v>
      </c>
      <c r="I31" s="42">
        <f t="shared" si="7"/>
        <v>43.5</v>
      </c>
      <c r="J31" s="28">
        <f t="shared" si="8"/>
        <v>455</v>
      </c>
      <c r="K31" s="28"/>
      <c r="L31" s="45">
        <v>1433</v>
      </c>
      <c r="M31" s="59">
        <v>160</v>
      </c>
      <c r="N31" s="47">
        <f>E31-M31</f>
        <v>1340</v>
      </c>
      <c r="R31" s="18">
        <v>202</v>
      </c>
      <c r="S31" s="37">
        <f aca="true" t="shared" si="10" ref="S31:S40">F31-R31</f>
        <v>843</v>
      </c>
      <c r="T31" s="18"/>
      <c r="U31" s="37">
        <f aca="true" t="shared" si="11" ref="U31:U40">C31-T31</f>
        <v>2900</v>
      </c>
    </row>
    <row r="32" spans="1:21" s="17" customFormat="1" ht="30.75" customHeight="1">
      <c r="A32" s="61" t="s">
        <v>188</v>
      </c>
      <c r="B32" s="62"/>
      <c r="C32" s="45">
        <v>1100</v>
      </c>
      <c r="D32" s="39">
        <f t="shared" si="9"/>
        <v>161</v>
      </c>
      <c r="E32" s="45">
        <v>495</v>
      </c>
      <c r="F32" s="63">
        <v>610</v>
      </c>
      <c r="G32" s="41"/>
      <c r="H32" s="42">
        <f t="shared" si="0"/>
        <v>45</v>
      </c>
      <c r="I32" s="42">
        <f t="shared" si="7"/>
        <v>-18.9</v>
      </c>
      <c r="J32" s="28">
        <f t="shared" si="8"/>
        <v>-115</v>
      </c>
      <c r="K32" s="28"/>
      <c r="L32" s="45">
        <v>334</v>
      </c>
      <c r="M32" s="64">
        <v>160</v>
      </c>
      <c r="N32" s="51">
        <f>E32-M32</f>
        <v>335</v>
      </c>
      <c r="R32" s="18">
        <v>202</v>
      </c>
      <c r="S32" s="37">
        <f t="shared" si="10"/>
        <v>408</v>
      </c>
      <c r="T32" s="18"/>
      <c r="U32" s="37">
        <f t="shared" si="11"/>
        <v>1100</v>
      </c>
    </row>
    <row r="33" spans="1:21" s="17" customFormat="1" ht="30.75" customHeight="1">
      <c r="A33" s="61" t="s">
        <v>189</v>
      </c>
      <c r="B33" s="62"/>
      <c r="C33" s="45"/>
      <c r="D33" s="39">
        <f t="shared" si="9"/>
        <v>57</v>
      </c>
      <c r="E33" s="45">
        <v>169</v>
      </c>
      <c r="F33" s="63">
        <v>203</v>
      </c>
      <c r="G33" s="41"/>
      <c r="H33" s="42" t="e">
        <f t="shared" si="0"/>
        <v>#DIV/0!</v>
      </c>
      <c r="I33" s="42">
        <f t="shared" si="7"/>
        <v>-16.7</v>
      </c>
      <c r="J33" s="28">
        <f t="shared" si="8"/>
        <v>-34</v>
      </c>
      <c r="K33" s="28"/>
      <c r="L33" s="45">
        <v>112</v>
      </c>
      <c r="M33" s="65"/>
      <c r="N33" s="51">
        <f>E33-M33</f>
        <v>169</v>
      </c>
      <c r="R33" s="52"/>
      <c r="S33" s="37">
        <f t="shared" si="10"/>
        <v>203</v>
      </c>
      <c r="T33" s="18"/>
      <c r="U33" s="37">
        <f t="shared" si="11"/>
        <v>0</v>
      </c>
    </row>
    <row r="34" spans="1:21" s="17" customFormat="1" ht="30.75" customHeight="1">
      <c r="A34" s="61" t="s">
        <v>190</v>
      </c>
      <c r="B34" s="62"/>
      <c r="C34" s="45"/>
      <c r="D34" s="39">
        <f t="shared" si="9"/>
        <v>0</v>
      </c>
      <c r="E34" s="45"/>
      <c r="F34" s="45"/>
      <c r="G34" s="41"/>
      <c r="H34" s="42" t="e">
        <f t="shared" si="0"/>
        <v>#DIV/0!</v>
      </c>
      <c r="I34" s="42" t="e">
        <f t="shared" si="7"/>
        <v>#DIV/0!</v>
      </c>
      <c r="J34" s="28">
        <f t="shared" si="8"/>
        <v>0</v>
      </c>
      <c r="K34" s="28"/>
      <c r="L34" s="45"/>
      <c r="M34" s="60"/>
      <c r="N34" s="47">
        <v>0</v>
      </c>
      <c r="R34" s="18"/>
      <c r="S34" s="37">
        <f t="shared" si="10"/>
        <v>0</v>
      </c>
      <c r="T34" s="18"/>
      <c r="U34" s="37">
        <f t="shared" si="11"/>
        <v>0</v>
      </c>
    </row>
    <row r="35" spans="1:21" s="17" customFormat="1" ht="30.75" customHeight="1">
      <c r="A35" s="66" t="s">
        <v>191</v>
      </c>
      <c r="B35" s="62"/>
      <c r="C35" s="45"/>
      <c r="D35" s="39">
        <f t="shared" si="9"/>
        <v>0</v>
      </c>
      <c r="E35" s="45"/>
      <c r="F35" s="45"/>
      <c r="G35" s="41"/>
      <c r="H35" s="42" t="e">
        <f t="shared" si="0"/>
        <v>#DIV/0!</v>
      </c>
      <c r="I35" s="42" t="e">
        <f t="shared" si="7"/>
        <v>#DIV/0!</v>
      </c>
      <c r="J35" s="28">
        <f t="shared" si="8"/>
        <v>0</v>
      </c>
      <c r="K35" s="28"/>
      <c r="L35" s="45"/>
      <c r="M35" s="60"/>
      <c r="N35" s="47">
        <v>0</v>
      </c>
      <c r="O35" s="57"/>
      <c r="R35" s="18"/>
      <c r="S35" s="37">
        <f t="shared" si="10"/>
        <v>0</v>
      </c>
      <c r="T35" s="18"/>
      <c r="U35" s="37">
        <f t="shared" si="11"/>
        <v>0</v>
      </c>
    </row>
    <row r="36" spans="1:21" s="17" customFormat="1" ht="30.75" customHeight="1">
      <c r="A36" s="44" t="s">
        <v>40</v>
      </c>
      <c r="B36" s="38"/>
      <c r="C36" s="45">
        <v>28317</v>
      </c>
      <c r="D36" s="39">
        <f t="shared" si="9"/>
        <v>1452</v>
      </c>
      <c r="E36" s="45">
        <v>6795</v>
      </c>
      <c r="F36" s="45">
        <v>10497</v>
      </c>
      <c r="G36" s="41">
        <f>E36/E6*100</f>
        <v>13.825869330783162</v>
      </c>
      <c r="H36" s="42">
        <f t="shared" si="0"/>
        <v>24</v>
      </c>
      <c r="I36" s="42">
        <f t="shared" si="7"/>
        <v>-35.3</v>
      </c>
      <c r="J36" s="28">
        <f t="shared" si="8"/>
        <v>-3702</v>
      </c>
      <c r="K36" s="28"/>
      <c r="L36" s="45">
        <v>5343</v>
      </c>
      <c r="M36" s="60">
        <v>181</v>
      </c>
      <c r="N36" s="47">
        <f aca="true" t="shared" si="12" ref="N36:N47">E36-M36</f>
        <v>6614</v>
      </c>
      <c r="O36" s="57"/>
      <c r="R36" s="18">
        <v>539</v>
      </c>
      <c r="S36" s="37">
        <f t="shared" si="10"/>
        <v>9958</v>
      </c>
      <c r="T36" s="18"/>
      <c r="U36" s="37">
        <f t="shared" si="11"/>
        <v>28317</v>
      </c>
    </row>
    <row r="37" spans="1:21" s="17" customFormat="1" ht="30.75" customHeight="1">
      <c r="A37" s="44" t="s">
        <v>41</v>
      </c>
      <c r="B37" s="38"/>
      <c r="C37" s="45">
        <v>6800</v>
      </c>
      <c r="D37" s="39">
        <f t="shared" si="9"/>
        <v>813</v>
      </c>
      <c r="E37" s="45">
        <v>3018</v>
      </c>
      <c r="F37" s="45">
        <v>2292</v>
      </c>
      <c r="G37" s="41">
        <f>E37/E6*100</f>
        <v>6.140761389301484</v>
      </c>
      <c r="H37" s="42">
        <f t="shared" si="0"/>
        <v>44.4</v>
      </c>
      <c r="I37" s="42">
        <f t="shared" si="7"/>
        <v>31.7</v>
      </c>
      <c r="J37" s="28">
        <f t="shared" si="8"/>
        <v>726</v>
      </c>
      <c r="K37" s="28"/>
      <c r="L37" s="45">
        <v>2205</v>
      </c>
      <c r="M37" s="67">
        <v>61</v>
      </c>
      <c r="N37" s="47">
        <f t="shared" si="12"/>
        <v>2957</v>
      </c>
      <c r="O37" s="57"/>
      <c r="R37" s="18">
        <v>44</v>
      </c>
      <c r="S37" s="37">
        <f t="shared" si="10"/>
        <v>2248</v>
      </c>
      <c r="T37" s="18"/>
      <c r="U37" s="37">
        <f t="shared" si="11"/>
        <v>6800</v>
      </c>
    </row>
    <row r="38" spans="1:21" s="17" customFormat="1" ht="30.75" customHeight="1">
      <c r="A38" s="44" t="s">
        <v>42</v>
      </c>
      <c r="B38" s="38"/>
      <c r="C38" s="45">
        <v>4300</v>
      </c>
      <c r="D38" s="39">
        <f t="shared" si="9"/>
        <v>474</v>
      </c>
      <c r="E38" s="45">
        <v>6291</v>
      </c>
      <c r="F38" s="45">
        <v>2444</v>
      </c>
      <c r="G38" s="41">
        <f>E38/E6*100</f>
        <v>12.800374387042954</v>
      </c>
      <c r="H38" s="42">
        <f t="shared" si="0"/>
        <v>146.3</v>
      </c>
      <c r="I38" s="42">
        <f t="shared" si="7"/>
        <v>157.4</v>
      </c>
      <c r="J38" s="28">
        <f t="shared" si="8"/>
        <v>3847</v>
      </c>
      <c r="K38" s="28"/>
      <c r="L38" s="45">
        <v>5817</v>
      </c>
      <c r="M38" s="67">
        <v>1</v>
      </c>
      <c r="N38" s="47">
        <f t="shared" si="12"/>
        <v>6290</v>
      </c>
      <c r="R38" s="18">
        <v>80</v>
      </c>
      <c r="S38" s="37">
        <f t="shared" si="10"/>
        <v>2364</v>
      </c>
      <c r="T38" s="18"/>
      <c r="U38" s="37">
        <f t="shared" si="11"/>
        <v>4300</v>
      </c>
    </row>
    <row r="39" spans="1:21" s="17" customFormat="1" ht="35.25" customHeight="1">
      <c r="A39" s="68" t="s">
        <v>43</v>
      </c>
      <c r="B39" s="23"/>
      <c r="C39" s="69">
        <v>483</v>
      </c>
      <c r="D39" s="39">
        <f t="shared" si="9"/>
        <v>209</v>
      </c>
      <c r="E39" s="69">
        <v>425</v>
      </c>
      <c r="F39" s="69">
        <v>195</v>
      </c>
      <c r="G39" s="70"/>
      <c r="H39" s="42">
        <f t="shared" si="0"/>
        <v>88</v>
      </c>
      <c r="I39" s="42">
        <f t="shared" si="7"/>
        <v>117.9</v>
      </c>
      <c r="J39" s="28">
        <f t="shared" si="8"/>
        <v>230</v>
      </c>
      <c r="K39" s="28"/>
      <c r="L39" s="69">
        <v>216</v>
      </c>
      <c r="M39" s="67"/>
      <c r="N39" s="47">
        <f t="shared" si="12"/>
        <v>425</v>
      </c>
      <c r="R39" s="18"/>
      <c r="S39" s="37">
        <f t="shared" si="10"/>
        <v>195</v>
      </c>
      <c r="T39" s="18"/>
      <c r="U39" s="37">
        <f t="shared" si="11"/>
        <v>483</v>
      </c>
    </row>
    <row r="40" spans="1:21" s="17" customFormat="1" ht="30.75" customHeight="1" thickBot="1">
      <c r="A40" s="68" t="s">
        <v>44</v>
      </c>
      <c r="B40" s="23"/>
      <c r="C40" s="69">
        <v>1300</v>
      </c>
      <c r="D40" s="39">
        <f t="shared" si="9"/>
        <v>35</v>
      </c>
      <c r="E40" s="69">
        <v>46</v>
      </c>
      <c r="F40" s="69"/>
      <c r="G40" s="70">
        <f>E40/E6*100</f>
        <v>0.09359676073819359</v>
      </c>
      <c r="H40" s="71">
        <f t="shared" si="0"/>
        <v>3.5</v>
      </c>
      <c r="I40" s="71" t="e">
        <f t="shared" si="7"/>
        <v>#DIV/0!</v>
      </c>
      <c r="J40" s="28">
        <f t="shared" si="8"/>
        <v>46</v>
      </c>
      <c r="K40" s="28"/>
      <c r="L40" s="69">
        <v>11</v>
      </c>
      <c r="M40" s="67"/>
      <c r="N40" s="47">
        <f t="shared" si="12"/>
        <v>46</v>
      </c>
      <c r="O40" s="72" t="e">
        <f>IF(#REF!&gt;0,#REF!&amp;"完成"&amp;#REF!&amp;"万元，为预算的"&amp;#REF!&amp;"%","")&amp;IF(#REF!&gt;0,IF(#REF!&gt;0,"，增长"&amp;#REF!&amp;"%，增加支出"&amp;#REF!,"，下降"&amp;-#REF!&amp;"%，减少支出"&amp;-#REF!)&amp;"万元","")&amp;IF(#REF!&gt;0,"。","")</f>
        <v>#REF!</v>
      </c>
      <c r="R40" s="18"/>
      <c r="S40" s="37">
        <f t="shared" si="10"/>
        <v>0</v>
      </c>
      <c r="T40" s="18"/>
      <c r="U40" s="37">
        <f t="shared" si="11"/>
        <v>1300</v>
      </c>
    </row>
    <row r="41" spans="1:21" s="17" customFormat="1" ht="34.5" customHeight="1" thickTop="1">
      <c r="A41" s="73" t="s">
        <v>192</v>
      </c>
      <c r="B41" s="74"/>
      <c r="C41" s="32"/>
      <c r="D41" s="32">
        <f t="shared" si="9"/>
        <v>3589</v>
      </c>
      <c r="E41" s="75">
        <v>16376</v>
      </c>
      <c r="F41" s="32">
        <v>11608</v>
      </c>
      <c r="G41" s="76"/>
      <c r="H41" s="77" t="e">
        <f t="shared" si="0"/>
        <v>#DIV/0!</v>
      </c>
      <c r="I41" s="77">
        <f t="shared" si="7"/>
        <v>41.1</v>
      </c>
      <c r="J41" s="28">
        <f t="shared" si="8"/>
        <v>4768</v>
      </c>
      <c r="K41" s="28"/>
      <c r="L41" s="75">
        <v>12787</v>
      </c>
      <c r="M41" s="67"/>
      <c r="N41" s="47">
        <f t="shared" si="12"/>
        <v>16376</v>
      </c>
      <c r="R41" s="18"/>
      <c r="S41" s="37"/>
      <c r="T41" s="18"/>
      <c r="U41" s="18"/>
    </row>
    <row r="42" spans="1:21" s="17" customFormat="1" ht="26.25" customHeight="1">
      <c r="A42" s="44" t="s">
        <v>45</v>
      </c>
      <c r="B42" s="38"/>
      <c r="C42" s="78"/>
      <c r="D42" s="33">
        <f t="shared" si="9"/>
        <v>2717</v>
      </c>
      <c r="E42" s="39">
        <v>8081</v>
      </c>
      <c r="F42" s="39">
        <v>5506</v>
      </c>
      <c r="G42" s="79"/>
      <c r="H42" s="42" t="e">
        <f t="shared" si="0"/>
        <v>#DIV/0!</v>
      </c>
      <c r="I42" s="42">
        <f t="shared" si="7"/>
        <v>46.8</v>
      </c>
      <c r="J42" s="28">
        <f t="shared" si="8"/>
        <v>2575</v>
      </c>
      <c r="K42" s="28"/>
      <c r="L42" s="39">
        <v>5364</v>
      </c>
      <c r="M42" s="67"/>
      <c r="N42" s="47">
        <f t="shared" si="12"/>
        <v>8081</v>
      </c>
      <c r="R42" s="18"/>
      <c r="S42" s="37"/>
      <c r="T42" s="18"/>
      <c r="U42" s="18"/>
    </row>
    <row r="43" spans="1:21" s="17" customFormat="1" ht="26.25" customHeight="1">
      <c r="A43" s="66" t="s">
        <v>46</v>
      </c>
      <c r="B43" s="80"/>
      <c r="C43" s="81"/>
      <c r="D43" s="33">
        <f t="shared" si="9"/>
        <v>21</v>
      </c>
      <c r="E43" s="45">
        <v>47</v>
      </c>
      <c r="F43" s="45">
        <v>73</v>
      </c>
      <c r="G43" s="82"/>
      <c r="H43" s="42" t="e">
        <f t="shared" si="0"/>
        <v>#DIV/0!</v>
      </c>
      <c r="I43" s="42">
        <f t="shared" si="7"/>
        <v>-35.6</v>
      </c>
      <c r="J43" s="28">
        <f t="shared" si="8"/>
        <v>-26</v>
      </c>
      <c r="K43" s="28"/>
      <c r="L43" s="45">
        <v>26</v>
      </c>
      <c r="M43" s="67"/>
      <c r="N43" s="47">
        <f t="shared" si="12"/>
        <v>47</v>
      </c>
      <c r="R43" s="18"/>
      <c r="S43" s="37"/>
      <c r="T43" s="18"/>
      <c r="U43" s="18"/>
    </row>
    <row r="44" spans="1:21" s="17" customFormat="1" ht="31.5" customHeight="1" thickBot="1">
      <c r="A44" s="83" t="s">
        <v>193</v>
      </c>
      <c r="B44" s="84"/>
      <c r="C44" s="85">
        <v>6590</v>
      </c>
      <c r="D44" s="33">
        <f t="shared" si="9"/>
        <v>448</v>
      </c>
      <c r="E44" s="25">
        <v>2293</v>
      </c>
      <c r="F44" s="25">
        <v>2765</v>
      </c>
      <c r="G44" s="86"/>
      <c r="H44" s="27">
        <f t="shared" si="0"/>
        <v>34.8</v>
      </c>
      <c r="I44" s="27">
        <f t="shared" si="7"/>
        <v>-17.1</v>
      </c>
      <c r="J44" s="28">
        <f t="shared" si="8"/>
        <v>-472</v>
      </c>
      <c r="K44" s="28"/>
      <c r="L44" s="25">
        <v>1845</v>
      </c>
      <c r="M44" s="67"/>
      <c r="N44" s="47">
        <f t="shared" si="12"/>
        <v>2293</v>
      </c>
      <c r="R44" s="18"/>
      <c r="S44" s="37"/>
      <c r="T44" s="18"/>
      <c r="U44" s="18"/>
    </row>
    <row r="45" spans="1:21" s="17" customFormat="1" ht="36" customHeight="1" thickTop="1">
      <c r="A45" s="87" t="s">
        <v>47</v>
      </c>
      <c r="B45" s="88"/>
      <c r="C45" s="89"/>
      <c r="D45" s="90">
        <f>SUM(D46:D47)</f>
        <v>1709</v>
      </c>
      <c r="E45" s="90">
        <v>9447</v>
      </c>
      <c r="F45" s="90">
        <v>7568</v>
      </c>
      <c r="G45" s="91"/>
      <c r="H45" s="36" t="e">
        <f t="shared" si="0"/>
        <v>#DIV/0!</v>
      </c>
      <c r="I45" s="36">
        <f t="shared" si="7"/>
        <v>24.8</v>
      </c>
      <c r="J45" s="28">
        <f t="shared" si="8"/>
        <v>1879</v>
      </c>
      <c r="K45" s="28"/>
      <c r="L45" s="90">
        <v>7738</v>
      </c>
      <c r="M45" s="67"/>
      <c r="N45" s="47">
        <f t="shared" si="12"/>
        <v>9447</v>
      </c>
      <c r="R45" s="18"/>
      <c r="S45" s="37"/>
      <c r="T45" s="18"/>
      <c r="U45" s="18"/>
    </row>
    <row r="46" spans="1:21" s="17" customFormat="1" ht="28.5" customHeight="1">
      <c r="A46" s="92" t="s">
        <v>48</v>
      </c>
      <c r="B46" s="93"/>
      <c r="C46" s="94"/>
      <c r="D46" s="45">
        <f>E46-L46</f>
        <v>1032</v>
      </c>
      <c r="E46" s="45">
        <v>6230</v>
      </c>
      <c r="F46" s="45">
        <v>3273</v>
      </c>
      <c r="G46" s="82"/>
      <c r="H46" s="42" t="e">
        <f t="shared" si="0"/>
        <v>#DIV/0!</v>
      </c>
      <c r="I46" s="42">
        <f t="shared" si="7"/>
        <v>90.3</v>
      </c>
      <c r="J46" s="28">
        <f t="shared" si="8"/>
        <v>2957</v>
      </c>
      <c r="K46" s="28"/>
      <c r="L46" s="45">
        <v>5198</v>
      </c>
      <c r="M46" s="67"/>
      <c r="N46" s="47">
        <f t="shared" si="12"/>
        <v>6230</v>
      </c>
      <c r="R46" s="18"/>
      <c r="S46" s="37"/>
      <c r="T46" s="18"/>
      <c r="U46" s="18"/>
    </row>
    <row r="47" spans="1:21" s="17" customFormat="1" ht="30.75" customHeight="1">
      <c r="A47" s="92" t="s">
        <v>49</v>
      </c>
      <c r="B47" s="93"/>
      <c r="C47" s="94"/>
      <c r="D47" s="45">
        <f>E47-L47</f>
        <v>677</v>
      </c>
      <c r="E47" s="45">
        <f>E45-E46</f>
        <v>3217</v>
      </c>
      <c r="F47" s="45">
        <f>F45-F46</f>
        <v>4295</v>
      </c>
      <c r="G47" s="82"/>
      <c r="H47" s="42" t="e">
        <f t="shared" si="0"/>
        <v>#DIV/0!</v>
      </c>
      <c r="I47" s="42">
        <f t="shared" si="7"/>
        <v>-25.1</v>
      </c>
      <c r="J47" s="28">
        <f t="shared" si="8"/>
        <v>-1078</v>
      </c>
      <c r="K47" s="28"/>
      <c r="L47" s="45">
        <v>2540</v>
      </c>
      <c r="M47" s="67"/>
      <c r="N47" s="47">
        <f t="shared" si="12"/>
        <v>3217</v>
      </c>
      <c r="R47" s="18"/>
      <c r="S47" s="37"/>
      <c r="T47" s="18"/>
      <c r="U47" s="18"/>
    </row>
    <row r="48" ht="28.5" customHeight="1"/>
    <row r="49" ht="28.5" customHeight="1"/>
    <row r="50" spans="4:6" ht="23.25" customHeight="1">
      <c r="D50" s="105" t="s">
        <v>50</v>
      </c>
      <c r="E50" s="106">
        <v>21066</v>
      </c>
      <c r="F50" s="106">
        <v>17591</v>
      </c>
    </row>
    <row r="51" spans="4:6" ht="23.25" customHeight="1">
      <c r="D51" s="105" t="s">
        <v>51</v>
      </c>
      <c r="E51" s="106">
        <v>9692</v>
      </c>
      <c r="F51" s="106">
        <v>9794</v>
      </c>
    </row>
    <row r="52" spans="4:6" ht="23.25" customHeight="1">
      <c r="D52" s="105" t="s">
        <v>52</v>
      </c>
      <c r="E52" s="106">
        <v>11374</v>
      </c>
      <c r="F52" s="106">
        <v>7797</v>
      </c>
    </row>
  </sheetData>
  <sheetProtection formatCells="0" formatColumns="0" formatRows="0" insertColumns="0" insertRows="0"/>
  <mergeCells count="15">
    <mergeCell ref="A1:I1"/>
    <mergeCell ref="H2:I2"/>
    <mergeCell ref="A3:A4"/>
    <mergeCell ref="C3:C4"/>
    <mergeCell ref="D3:D4"/>
    <mergeCell ref="H3:I3"/>
    <mergeCell ref="B3:B4"/>
    <mergeCell ref="E3:E4"/>
    <mergeCell ref="F3:F4"/>
    <mergeCell ref="G3:G4"/>
    <mergeCell ref="T3:U3"/>
    <mergeCell ref="M3:N3"/>
    <mergeCell ref="R3:S3"/>
    <mergeCell ref="J3:J4"/>
    <mergeCell ref="L3:L4"/>
  </mergeCells>
  <printOptions horizontalCentered="1"/>
  <pageMargins left="0.5511811023622047" right="0.5511811023622047" top="0.79" bottom="0.71" header="0.1968503937007874" footer="0.48"/>
  <pageSetup blackAndWhite="1" errors="blank" firstPageNumber="16" useFirstPageNumber="1" fitToHeight="2" horizontalDpi="600" verticalDpi="600" orientation="portrait" paperSize="13" scale="78" r:id="rId2"/>
  <headerFooter alignWithMargins="0">
    <oddFooter xml:space="preserve">&amp;C&amp;11·&amp;12  &amp;P  &amp;11·&amp;12 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workbookViewId="0" topLeftCell="A1">
      <selection activeCell="A1" sqref="A1:I1"/>
    </sheetView>
  </sheetViews>
  <sheetFormatPr defaultColWidth="9.00390625" defaultRowHeight="14.25"/>
  <cols>
    <col min="1" max="1" width="27.25390625" style="0" bestFit="1" customWidth="1"/>
    <col min="2" max="2" width="10.00390625" style="325" hidden="1" customWidth="1"/>
    <col min="3" max="3" width="8.75390625" style="315" hidden="1" customWidth="1"/>
    <col min="4" max="4" width="8.75390625" style="0" customWidth="1"/>
    <col min="5" max="5" width="10.75390625" style="0" customWidth="1"/>
    <col min="6" max="7" width="10.75390625" style="325" customWidth="1"/>
    <col min="8" max="8" width="8.75390625" style="0" customWidth="1"/>
    <col min="9" max="9" width="10.25390625" style="0" customWidth="1"/>
    <col min="10" max="21" width="0" style="0" hidden="1" customWidth="1"/>
  </cols>
  <sheetData>
    <row r="1" spans="1:9" ht="35.25" customHeight="1">
      <c r="A1" s="388" t="str">
        <f>"2017年"&amp;'[1]数据分析表'!J1&amp;"月邓州市社会保险基金预算收支完成情况表"</f>
        <v>2017年4月邓州市社会保险基金预算收支完成情况表</v>
      </c>
      <c r="B1" s="388"/>
      <c r="C1" s="388"/>
      <c r="D1" s="388"/>
      <c r="E1" s="388"/>
      <c r="F1" s="388"/>
      <c r="G1" s="388"/>
      <c r="H1" s="388"/>
      <c r="I1" s="388"/>
    </row>
    <row r="2" spans="1:9" ht="22.5" customHeight="1">
      <c r="A2" s="9" t="s">
        <v>140</v>
      </c>
      <c r="H2" s="389" t="s">
        <v>1</v>
      </c>
      <c r="I2" s="389"/>
    </row>
    <row r="3" spans="1:10" ht="22.5" customHeight="1">
      <c r="A3" s="390" t="s">
        <v>2</v>
      </c>
      <c r="B3" s="451" t="s">
        <v>3</v>
      </c>
      <c r="C3" s="317"/>
      <c r="D3" s="383" t="s">
        <v>3</v>
      </c>
      <c r="E3" s="449" t="s">
        <v>4</v>
      </c>
      <c r="F3" s="451" t="s">
        <v>5</v>
      </c>
      <c r="G3" s="451" t="s">
        <v>6</v>
      </c>
      <c r="H3" s="380" t="s">
        <v>7</v>
      </c>
      <c r="I3" s="380"/>
      <c r="J3" s="450"/>
    </row>
    <row r="4" spans="1:12" ht="36" customHeight="1">
      <c r="A4" s="390"/>
      <c r="B4" s="451"/>
      <c r="C4" s="317" t="s">
        <v>237</v>
      </c>
      <c r="D4" s="383"/>
      <c r="E4" s="449"/>
      <c r="F4" s="452"/>
      <c r="G4" s="453"/>
      <c r="H4" s="15" t="s">
        <v>12</v>
      </c>
      <c r="I4" s="19" t="s">
        <v>13</v>
      </c>
      <c r="J4" s="450"/>
      <c r="L4" s="326" t="s">
        <v>261</v>
      </c>
    </row>
    <row r="5" spans="1:12" ht="50.25" customHeight="1">
      <c r="A5" s="327" t="s">
        <v>262</v>
      </c>
      <c r="B5" s="328">
        <v>243810.24719999998</v>
      </c>
      <c r="C5" s="329"/>
      <c r="D5" s="329">
        <v>243810.24719999998</v>
      </c>
      <c r="E5" s="329">
        <f aca="true" t="shared" si="0" ref="E5:E13">F5-L5</f>
        <v>26147.469999999987</v>
      </c>
      <c r="F5" s="328">
        <v>88785.68</v>
      </c>
      <c r="G5" s="328">
        <v>71850.19</v>
      </c>
      <c r="H5" s="330">
        <f aca="true" t="shared" si="1" ref="H5:H13">F5/D5*100</f>
        <v>36.41589351540595</v>
      </c>
      <c r="I5" s="330">
        <f aca="true" t="shared" si="2" ref="I5:I13">(F5/G5-1)*100</f>
        <v>23.570557015924365</v>
      </c>
      <c r="J5">
        <f>F5-G5</f>
        <v>16935.48999999999</v>
      </c>
      <c r="L5">
        <v>62638.21000000001</v>
      </c>
    </row>
    <row r="6" spans="1:12" ht="43.5" customHeight="1">
      <c r="A6" s="324" t="s">
        <v>263</v>
      </c>
      <c r="B6" s="328">
        <v>53589.3</v>
      </c>
      <c r="C6" s="329"/>
      <c r="D6" s="329">
        <v>53589.3</v>
      </c>
      <c r="E6" s="329">
        <f t="shared" si="0"/>
        <v>5339.4000000000015</v>
      </c>
      <c r="F6" s="328">
        <v>17044.4</v>
      </c>
      <c r="G6" s="328">
        <v>12438</v>
      </c>
      <c r="H6" s="330">
        <f t="shared" si="1"/>
        <v>31.80560298417781</v>
      </c>
      <c r="I6" s="330">
        <f t="shared" si="2"/>
        <v>37.034893069625355</v>
      </c>
      <c r="J6">
        <f>F6-G6</f>
        <v>4606.4000000000015</v>
      </c>
      <c r="L6">
        <v>11705</v>
      </c>
    </row>
    <row r="7" spans="1:12" ht="43.5" customHeight="1">
      <c r="A7" s="331" t="s">
        <v>264</v>
      </c>
      <c r="B7" s="328">
        <v>21624.8</v>
      </c>
      <c r="C7" s="329"/>
      <c r="D7" s="329">
        <v>21624.8</v>
      </c>
      <c r="E7" s="329">
        <f t="shared" si="0"/>
        <v>76</v>
      </c>
      <c r="F7" s="328">
        <v>6026</v>
      </c>
      <c r="G7" s="328">
        <v>6055</v>
      </c>
      <c r="H7" s="330">
        <f t="shared" si="1"/>
        <v>27.866153675409716</v>
      </c>
      <c r="I7" s="330">
        <f t="shared" si="2"/>
        <v>-0.47894302229561925</v>
      </c>
      <c r="L7">
        <v>5950</v>
      </c>
    </row>
    <row r="8" spans="1:12" ht="43.5" customHeight="1">
      <c r="A8" s="324" t="s">
        <v>265</v>
      </c>
      <c r="B8" s="328">
        <v>617.3892</v>
      </c>
      <c r="C8" s="329"/>
      <c r="D8" s="329">
        <v>617.3892</v>
      </c>
      <c r="E8" s="329">
        <f t="shared" si="0"/>
        <v>85.55</v>
      </c>
      <c r="F8" s="328">
        <v>174.28</v>
      </c>
      <c r="G8" s="328">
        <v>240</v>
      </c>
      <c r="H8" s="330">
        <f t="shared" si="1"/>
        <v>28.228546919835985</v>
      </c>
      <c r="I8" s="330">
        <f t="shared" si="2"/>
        <v>-27.383333333333336</v>
      </c>
      <c r="J8">
        <f>F8-G8</f>
        <v>-65.72</v>
      </c>
      <c r="L8">
        <v>88.73</v>
      </c>
    </row>
    <row r="9" spans="1:12" ht="43.5" customHeight="1">
      <c r="A9" s="331" t="s">
        <v>266</v>
      </c>
      <c r="B9" s="328">
        <v>554.6086</v>
      </c>
      <c r="C9" s="329"/>
      <c r="D9" s="329">
        <v>554.6086</v>
      </c>
      <c r="E9" s="329">
        <f t="shared" si="0"/>
        <v>85.55000000000001</v>
      </c>
      <c r="F9" s="328">
        <v>174.12</v>
      </c>
      <c r="G9" s="328">
        <f>E9/E6*100</f>
        <v>1.6022399520545378</v>
      </c>
      <c r="H9" s="330">
        <f t="shared" si="1"/>
        <v>31.39511359903182</v>
      </c>
      <c r="I9" s="330">
        <f t="shared" si="2"/>
        <v>10767.286125073058</v>
      </c>
      <c r="L9">
        <v>88.57</v>
      </c>
    </row>
    <row r="10" spans="1:12" ht="43.5" customHeight="1">
      <c r="A10" s="324" t="s">
        <v>267</v>
      </c>
      <c r="B10" s="328">
        <v>14770</v>
      </c>
      <c r="C10" s="329"/>
      <c r="D10" s="329">
        <v>14770</v>
      </c>
      <c r="E10" s="329">
        <f t="shared" si="0"/>
        <v>1937</v>
      </c>
      <c r="F10" s="328">
        <v>4130</v>
      </c>
      <c r="G10" s="328">
        <v>1291.8</v>
      </c>
      <c r="H10" s="330">
        <f t="shared" si="1"/>
        <v>27.96208530805687</v>
      </c>
      <c r="I10" s="330">
        <f t="shared" si="2"/>
        <v>219.70893327140425</v>
      </c>
      <c r="J10">
        <f>F10-G10</f>
        <v>2838.2</v>
      </c>
      <c r="L10">
        <v>2193</v>
      </c>
    </row>
    <row r="11" spans="1:12" ht="43.5" customHeight="1">
      <c r="A11" s="331" t="s">
        <v>266</v>
      </c>
      <c r="B11" s="328">
        <v>13600</v>
      </c>
      <c r="C11" s="329"/>
      <c r="D11" s="329">
        <v>13600</v>
      </c>
      <c r="E11" s="329">
        <f t="shared" si="0"/>
        <v>1937</v>
      </c>
      <c r="F11" s="328">
        <v>4130</v>
      </c>
      <c r="G11" s="328">
        <v>1287.3</v>
      </c>
      <c r="H11" s="330">
        <f t="shared" si="1"/>
        <v>30.367647058823525</v>
      </c>
      <c r="I11" s="330">
        <f t="shared" si="2"/>
        <v>220.82653616095706</v>
      </c>
      <c r="L11">
        <v>2193</v>
      </c>
    </row>
    <row r="12" spans="1:12" ht="43.5" customHeight="1">
      <c r="A12" s="324" t="s">
        <v>268</v>
      </c>
      <c r="B12" s="328">
        <v>665</v>
      </c>
      <c r="C12" s="329"/>
      <c r="D12" s="329">
        <v>665</v>
      </c>
      <c r="E12" s="329">
        <f t="shared" si="0"/>
        <v>86</v>
      </c>
      <c r="F12" s="328">
        <v>157</v>
      </c>
      <c r="G12" s="328">
        <v>197</v>
      </c>
      <c r="H12" s="330">
        <f t="shared" si="1"/>
        <v>23.609022556390975</v>
      </c>
      <c r="I12" s="330">
        <f t="shared" si="2"/>
        <v>-20.304568527918786</v>
      </c>
      <c r="J12">
        <f>F12-G12</f>
        <v>-40</v>
      </c>
      <c r="L12">
        <v>71</v>
      </c>
    </row>
    <row r="13" spans="1:12" ht="43.5" customHeight="1">
      <c r="A13" s="331" t="s">
        <v>266</v>
      </c>
      <c r="B13" s="328">
        <v>650</v>
      </c>
      <c r="C13" s="329"/>
      <c r="D13" s="329">
        <v>650</v>
      </c>
      <c r="E13" s="329">
        <f t="shared" si="0"/>
        <v>86</v>
      </c>
      <c r="F13" s="328">
        <v>157</v>
      </c>
      <c r="G13" s="328">
        <v>181</v>
      </c>
      <c r="H13" s="330">
        <f t="shared" si="1"/>
        <v>24.153846153846153</v>
      </c>
      <c r="I13" s="330">
        <f t="shared" si="2"/>
        <v>-13.259668508287293</v>
      </c>
      <c r="L13">
        <v>71</v>
      </c>
    </row>
    <row r="14" spans="1:9" ht="17.25" customHeight="1">
      <c r="A14" s="332"/>
      <c r="B14" s="333"/>
      <c r="C14" s="334"/>
      <c r="D14" s="335"/>
      <c r="E14" s="335"/>
      <c r="F14" s="333"/>
      <c r="G14" s="333"/>
      <c r="H14" s="336"/>
      <c r="I14" s="337"/>
    </row>
    <row r="15" spans="1:12" ht="66" customHeight="1">
      <c r="A15" s="338" t="s">
        <v>269</v>
      </c>
      <c r="B15" s="328"/>
      <c r="C15" s="339"/>
      <c r="D15" s="329">
        <v>216086.05033399997</v>
      </c>
      <c r="E15" s="329">
        <f>F15-L15</f>
        <v>37287.490000000005</v>
      </c>
      <c r="F15" s="328">
        <v>73009.08</v>
      </c>
      <c r="G15" s="328">
        <v>56026.64</v>
      </c>
      <c r="H15" s="330">
        <f>F15/D15*100</f>
        <v>33.787039879321824</v>
      </c>
      <c r="I15" s="330">
        <f>(F15/G15-1)*100</f>
        <v>30.311366164381816</v>
      </c>
      <c r="J15">
        <f>F15-G15</f>
        <v>16982.440000000002</v>
      </c>
      <c r="L15">
        <v>35721.59</v>
      </c>
    </row>
    <row r="16" spans="1:12" ht="54.75" customHeight="1">
      <c r="A16" s="324" t="s">
        <v>270</v>
      </c>
      <c r="B16" s="328"/>
      <c r="C16" s="339"/>
      <c r="D16" s="329">
        <v>48238.316845999994</v>
      </c>
      <c r="E16" s="329">
        <f>F16-L16</f>
        <v>7383.610000000001</v>
      </c>
      <c r="F16" s="328">
        <v>15126.61</v>
      </c>
      <c r="G16" s="328">
        <v>13560</v>
      </c>
      <c r="H16" s="330">
        <f>F16/D16*100</f>
        <v>31.358080026488995</v>
      </c>
      <c r="I16" s="330">
        <f>(F16/G16-1)*100</f>
        <v>11.553171091445424</v>
      </c>
      <c r="J16">
        <f>F16-G16</f>
        <v>1566.6100000000006</v>
      </c>
      <c r="L16">
        <v>7743</v>
      </c>
    </row>
    <row r="17" spans="1:12" ht="54.75" customHeight="1">
      <c r="A17" s="324" t="s">
        <v>271</v>
      </c>
      <c r="B17" s="328"/>
      <c r="C17" s="339"/>
      <c r="D17" s="329">
        <v>486.710688</v>
      </c>
      <c r="E17" s="329">
        <f>F17-L17</f>
        <v>5.969999999999999</v>
      </c>
      <c r="F17" s="328">
        <v>38.24</v>
      </c>
      <c r="G17" s="328">
        <v>44.37</v>
      </c>
      <c r="H17" s="330">
        <f>F17/D17*100</f>
        <v>7.8568235592147095</v>
      </c>
      <c r="I17" s="330">
        <f>(F17/G17-1)*100</f>
        <v>-13.815641199008333</v>
      </c>
      <c r="J17">
        <f>F17-G17</f>
        <v>-6.1299999999999955</v>
      </c>
      <c r="L17">
        <v>32.27</v>
      </c>
    </row>
    <row r="18" spans="1:12" ht="54.75" customHeight="1">
      <c r="A18" s="324" t="s">
        <v>272</v>
      </c>
      <c r="B18" s="328"/>
      <c r="C18" s="339"/>
      <c r="D18" s="329">
        <v>12260</v>
      </c>
      <c r="E18" s="329">
        <f>F18-L18</f>
        <v>1754</v>
      </c>
      <c r="F18" s="328">
        <v>3591</v>
      </c>
      <c r="G18" s="328">
        <v>2253</v>
      </c>
      <c r="H18" s="330">
        <f>F18/D18*100</f>
        <v>29.29037520391517</v>
      </c>
      <c r="I18" s="330">
        <f>(F18/G18-1)*100</f>
        <v>59.38748335552597</v>
      </c>
      <c r="J18">
        <f>F18-G18</f>
        <v>1338</v>
      </c>
      <c r="L18">
        <v>1837</v>
      </c>
    </row>
    <row r="19" spans="1:12" ht="54.75" customHeight="1">
      <c r="A19" s="324" t="s">
        <v>273</v>
      </c>
      <c r="B19" s="328"/>
      <c r="C19" s="339"/>
      <c r="D19" s="329">
        <v>918</v>
      </c>
      <c r="E19" s="329">
        <f>F19-L19</f>
        <v>0</v>
      </c>
      <c r="F19" s="328">
        <v>442</v>
      </c>
      <c r="G19" s="328">
        <v>82</v>
      </c>
      <c r="H19" s="330">
        <f>F19/D19*100</f>
        <v>48.148148148148145</v>
      </c>
      <c r="I19" s="330">
        <f>(F19/G19-1)*100</f>
        <v>439.0243902439025</v>
      </c>
      <c r="J19">
        <f>F19-G19</f>
        <v>360</v>
      </c>
      <c r="L19">
        <v>442</v>
      </c>
    </row>
  </sheetData>
  <sheetProtection/>
  <mergeCells count="10">
    <mergeCell ref="J3:J4"/>
    <mergeCell ref="H3:I3"/>
    <mergeCell ref="A1:I1"/>
    <mergeCell ref="H2:I2"/>
    <mergeCell ref="A3:A4"/>
    <mergeCell ref="B3:B4"/>
    <mergeCell ref="D3:D4"/>
    <mergeCell ref="E3:E4"/>
    <mergeCell ref="F3:F4"/>
    <mergeCell ref="G3:G4"/>
  </mergeCells>
  <printOptions/>
  <pageMargins left="0.7086614173228347" right="0.5905511811023623" top="0.7874015748031497" bottom="0.7480314960629921" header="0.31496062992125984" footer="0.5118110236220472"/>
  <pageSetup blackAndWhite="1" errors="blank" fitToHeight="0" horizontalDpi="600" verticalDpi="600" orientation="portrait" paperSize="13" scale="72" r:id="rId1"/>
  <headerFooter alignWithMargins="0">
    <oddFooter xml:space="preserve">&amp;C&amp;10·&amp;12  &amp;P &amp;10 ·&amp;12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Zeros="0" view="pageBreakPreview" zoomScaleSheetLayoutView="100" workbookViewId="0" topLeftCell="A1">
      <selection activeCell="G3" sqref="G3"/>
    </sheetView>
  </sheetViews>
  <sheetFormatPr defaultColWidth="9.00390625" defaultRowHeight="14.25"/>
  <cols>
    <col min="1" max="1" width="44.25390625" style="366" customWidth="1"/>
    <col min="2" max="2" width="10.125" style="377" customWidth="1"/>
    <col min="3" max="3" width="11.25390625" style="340" customWidth="1"/>
    <col min="4" max="4" width="9.75390625" style="340" customWidth="1"/>
    <col min="5" max="5" width="7.625" style="368" customWidth="1"/>
    <col min="6" max="6" width="6.875" style="340" customWidth="1"/>
    <col min="7" max="7" width="10.875" style="340" customWidth="1"/>
    <col min="8" max="8" width="9.00390625" style="340" customWidth="1"/>
    <col min="9" max="9" width="14.00390625" style="340" customWidth="1"/>
    <col min="10" max="16384" width="9.00390625" style="340" customWidth="1"/>
  </cols>
  <sheetData>
    <row r="1" spans="1:6" ht="25.5" customHeight="1">
      <c r="A1" s="460" t="str">
        <f>"2017年"&amp;'[1]数据分析表'!J1&amp;"月邓州市入库税收前30名工业企业完成情况表"</f>
        <v>2017年4月邓州市入库税收前30名工业企业完成情况表</v>
      </c>
      <c r="B1" s="460"/>
      <c r="C1" s="460"/>
      <c r="D1" s="460"/>
      <c r="E1" s="460"/>
      <c r="F1" s="460"/>
    </row>
    <row r="2" spans="1:6" s="343" customFormat="1" ht="18.75" customHeight="1">
      <c r="A2" s="9" t="s">
        <v>141</v>
      </c>
      <c r="B2" s="341"/>
      <c r="C2" s="342"/>
      <c r="E2" s="467" t="s">
        <v>1</v>
      </c>
      <c r="F2" s="467"/>
    </row>
    <row r="3" spans="1:9" ht="31.5" customHeight="1">
      <c r="A3" s="344" t="s">
        <v>142</v>
      </c>
      <c r="B3" s="345" t="s">
        <v>143</v>
      </c>
      <c r="C3" s="346" t="s">
        <v>5</v>
      </c>
      <c r="D3" s="346" t="s">
        <v>144</v>
      </c>
      <c r="E3" s="347" t="s">
        <v>145</v>
      </c>
      <c r="F3" s="348" t="s">
        <v>146</v>
      </c>
      <c r="H3" s="349"/>
      <c r="I3" s="349"/>
    </row>
    <row r="4" spans="1:10" ht="23.25" customHeight="1">
      <c r="A4" s="350" t="s">
        <v>147</v>
      </c>
      <c r="B4" s="351">
        <f>SUM(B5:B35)</f>
        <v>1559.8</v>
      </c>
      <c r="C4" s="352">
        <f>SUM(C5:C35)</f>
        <v>8400.300000000003</v>
      </c>
      <c r="D4" s="352">
        <f>SUM(D5:D35)</f>
        <v>5001.8</v>
      </c>
      <c r="E4" s="353">
        <f aca="true" t="shared" si="0" ref="E4:E35">(C4-D4)/D4*100</f>
        <v>67.94553960574198</v>
      </c>
      <c r="F4" s="354" t="s">
        <v>17</v>
      </c>
      <c r="G4" s="461"/>
      <c r="H4" s="462"/>
      <c r="I4" s="462"/>
      <c r="J4" s="462"/>
    </row>
    <row r="5" spans="1:10" s="359" customFormat="1" ht="22.5" customHeight="1">
      <c r="A5" s="355" t="s">
        <v>148</v>
      </c>
      <c r="B5" s="356">
        <v>399.2</v>
      </c>
      <c r="C5" s="356">
        <v>2159.4</v>
      </c>
      <c r="D5" s="356">
        <v>1197.5</v>
      </c>
      <c r="E5" s="357">
        <f t="shared" si="0"/>
        <v>80.32567849686848</v>
      </c>
      <c r="F5" s="358">
        <v>1</v>
      </c>
      <c r="G5" s="461"/>
      <c r="H5" s="462"/>
      <c r="I5" s="462"/>
      <c r="J5" s="462"/>
    </row>
    <row r="6" spans="1:10" s="359" customFormat="1" ht="22.5" customHeight="1">
      <c r="A6" s="355" t="s">
        <v>149</v>
      </c>
      <c r="B6" s="356">
        <v>320.5</v>
      </c>
      <c r="C6" s="356">
        <v>1190.9</v>
      </c>
      <c r="D6" s="356">
        <v>1023.6</v>
      </c>
      <c r="E6" s="357">
        <f t="shared" si="0"/>
        <v>16.34427510746386</v>
      </c>
      <c r="F6" s="358">
        <v>2</v>
      </c>
      <c r="G6" s="463"/>
      <c r="H6" s="464"/>
      <c r="I6" s="464"/>
      <c r="J6" s="464"/>
    </row>
    <row r="7" spans="1:10" s="359" customFormat="1" ht="22.5" customHeight="1">
      <c r="A7" s="355" t="s">
        <v>150</v>
      </c>
      <c r="B7" s="356">
        <v>4.7</v>
      </c>
      <c r="C7" s="356">
        <v>981</v>
      </c>
      <c r="D7" s="356">
        <v>24.9</v>
      </c>
      <c r="E7" s="357">
        <f t="shared" si="0"/>
        <v>3839.7590361445787</v>
      </c>
      <c r="F7" s="358">
        <v>3</v>
      </c>
      <c r="G7" s="463"/>
      <c r="H7" s="464"/>
      <c r="I7" s="464"/>
      <c r="J7" s="464"/>
    </row>
    <row r="8" spans="1:10" s="359" customFormat="1" ht="22.5" customHeight="1">
      <c r="A8" s="355" t="s">
        <v>151</v>
      </c>
      <c r="B8" s="356">
        <v>67.4</v>
      </c>
      <c r="C8" s="356">
        <v>845.7</v>
      </c>
      <c r="D8" s="356">
        <v>135.1</v>
      </c>
      <c r="E8" s="357">
        <f t="shared" si="0"/>
        <v>525.9807549962991</v>
      </c>
      <c r="F8" s="358">
        <v>4</v>
      </c>
      <c r="G8" s="463"/>
      <c r="H8" s="464"/>
      <c r="I8" s="464"/>
      <c r="J8" s="464"/>
    </row>
    <row r="9" spans="1:10" s="359" customFormat="1" ht="22.5" customHeight="1">
      <c r="A9" s="355" t="s">
        <v>152</v>
      </c>
      <c r="B9" s="356">
        <v>180.6</v>
      </c>
      <c r="C9" s="356">
        <v>539.6</v>
      </c>
      <c r="D9" s="356">
        <v>527.7</v>
      </c>
      <c r="E9" s="357">
        <f t="shared" si="0"/>
        <v>2.2550691680879242</v>
      </c>
      <c r="F9" s="358">
        <v>5</v>
      </c>
      <c r="G9" s="463"/>
      <c r="H9" s="464"/>
      <c r="I9" s="464"/>
      <c r="J9" s="464"/>
    </row>
    <row r="10" spans="1:10" s="359" customFormat="1" ht="22.5" customHeight="1">
      <c r="A10" s="355" t="s">
        <v>153</v>
      </c>
      <c r="B10" s="356">
        <v>25.4</v>
      </c>
      <c r="C10" s="356">
        <v>421.8</v>
      </c>
      <c r="D10" s="356">
        <v>122.2</v>
      </c>
      <c r="E10" s="357">
        <f t="shared" si="0"/>
        <v>245.17184942716858</v>
      </c>
      <c r="F10" s="358">
        <v>6</v>
      </c>
      <c r="G10" s="463"/>
      <c r="H10" s="464"/>
      <c r="I10" s="464"/>
      <c r="J10" s="464"/>
    </row>
    <row r="11" spans="1:10" s="359" customFormat="1" ht="22.5" customHeight="1">
      <c r="A11" s="355" t="s">
        <v>154</v>
      </c>
      <c r="B11" s="356">
        <v>146</v>
      </c>
      <c r="C11" s="356">
        <v>415.5</v>
      </c>
      <c r="D11" s="356">
        <v>270</v>
      </c>
      <c r="E11" s="357">
        <f t="shared" si="0"/>
        <v>53.888888888888886</v>
      </c>
      <c r="F11" s="358">
        <v>7</v>
      </c>
      <c r="G11" s="463"/>
      <c r="H11" s="464"/>
      <c r="I11" s="464"/>
      <c r="J11" s="464"/>
    </row>
    <row r="12" spans="1:10" s="359" customFormat="1" ht="22.5" customHeight="1">
      <c r="A12" s="355" t="s">
        <v>155</v>
      </c>
      <c r="B12" s="356">
        <v>27.8</v>
      </c>
      <c r="C12" s="356">
        <v>330.1</v>
      </c>
      <c r="D12" s="356">
        <v>410.1</v>
      </c>
      <c r="E12" s="357">
        <f t="shared" si="0"/>
        <v>-19.50743721043648</v>
      </c>
      <c r="F12" s="358">
        <v>8</v>
      </c>
      <c r="G12" s="463"/>
      <c r="H12" s="464"/>
      <c r="I12" s="464"/>
      <c r="J12" s="464"/>
    </row>
    <row r="13" spans="1:10" s="359" customFormat="1" ht="22.5" customHeight="1">
      <c r="A13" s="355" t="s">
        <v>156</v>
      </c>
      <c r="B13" s="356">
        <v>31</v>
      </c>
      <c r="C13" s="356">
        <v>177</v>
      </c>
      <c r="D13" s="356">
        <v>277.1</v>
      </c>
      <c r="E13" s="357">
        <f t="shared" si="0"/>
        <v>-36.12414290869722</v>
      </c>
      <c r="F13" s="358">
        <v>9</v>
      </c>
      <c r="G13" s="463"/>
      <c r="H13" s="464"/>
      <c r="I13" s="464"/>
      <c r="J13" s="464"/>
    </row>
    <row r="14" spans="1:10" s="359" customFormat="1" ht="22.5" customHeight="1">
      <c r="A14" s="355" t="s">
        <v>157</v>
      </c>
      <c r="B14" s="356">
        <v>31.2</v>
      </c>
      <c r="C14" s="356">
        <v>166.4</v>
      </c>
      <c r="D14" s="356">
        <v>117.1</v>
      </c>
      <c r="E14" s="357">
        <f t="shared" si="0"/>
        <v>42.1007685738685</v>
      </c>
      <c r="F14" s="358">
        <v>10</v>
      </c>
      <c r="G14" s="463"/>
      <c r="H14" s="464"/>
      <c r="I14" s="464"/>
      <c r="J14" s="464"/>
    </row>
    <row r="15" spans="1:9" s="359" customFormat="1" ht="22.5" customHeight="1">
      <c r="A15" s="355" t="s">
        <v>158</v>
      </c>
      <c r="B15" s="356">
        <v>7.6</v>
      </c>
      <c r="C15" s="356">
        <v>151.6</v>
      </c>
      <c r="D15" s="356">
        <v>0</v>
      </c>
      <c r="E15" s="357" t="e">
        <f t="shared" si="0"/>
        <v>#DIV/0!</v>
      </c>
      <c r="F15" s="358">
        <v>11</v>
      </c>
      <c r="G15" s="360"/>
      <c r="H15" s="349"/>
      <c r="I15" s="349"/>
    </row>
    <row r="16" spans="1:9" s="359" customFormat="1" ht="22.5" customHeight="1">
      <c r="A16" s="355" t="s">
        <v>159</v>
      </c>
      <c r="B16" s="356">
        <v>42.6</v>
      </c>
      <c r="C16" s="356">
        <v>142.3</v>
      </c>
      <c r="D16" s="356">
        <v>114.1</v>
      </c>
      <c r="E16" s="357">
        <f t="shared" si="0"/>
        <v>24.715162138475037</v>
      </c>
      <c r="F16" s="358">
        <v>12</v>
      </c>
      <c r="G16" s="360"/>
      <c r="H16" s="349"/>
      <c r="I16" s="349"/>
    </row>
    <row r="17" spans="1:9" s="359" customFormat="1" ht="22.5" customHeight="1">
      <c r="A17" s="355" t="s">
        <v>160</v>
      </c>
      <c r="B17" s="356">
        <v>47.6</v>
      </c>
      <c r="C17" s="356">
        <v>121.2</v>
      </c>
      <c r="D17" s="356">
        <v>192.8</v>
      </c>
      <c r="E17" s="357">
        <f t="shared" si="0"/>
        <v>-37.136929460580916</v>
      </c>
      <c r="F17" s="358">
        <v>13</v>
      </c>
      <c r="G17" s="360"/>
      <c r="H17" s="349"/>
      <c r="I17" s="349"/>
    </row>
    <row r="18" spans="1:9" s="359" customFormat="1" ht="22.5" customHeight="1">
      <c r="A18" s="355" t="s">
        <v>161</v>
      </c>
      <c r="B18" s="356">
        <v>40.2</v>
      </c>
      <c r="C18" s="356">
        <v>119.5</v>
      </c>
      <c r="D18" s="356">
        <v>146</v>
      </c>
      <c r="E18" s="357">
        <f t="shared" si="0"/>
        <v>-18.15068493150685</v>
      </c>
      <c r="F18" s="358">
        <v>14</v>
      </c>
      <c r="G18" s="360"/>
      <c r="H18" s="349"/>
      <c r="I18" s="349"/>
    </row>
    <row r="19" spans="1:9" s="359" customFormat="1" ht="22.5" customHeight="1">
      <c r="A19" s="355" t="s">
        <v>162</v>
      </c>
      <c r="B19" s="356">
        <v>19.2</v>
      </c>
      <c r="C19" s="356">
        <v>95</v>
      </c>
      <c r="D19" s="356">
        <v>19.9</v>
      </c>
      <c r="E19" s="357">
        <f t="shared" si="0"/>
        <v>377.38693467336685</v>
      </c>
      <c r="F19" s="358">
        <v>15</v>
      </c>
      <c r="G19" s="360"/>
      <c r="H19" s="349"/>
      <c r="I19" s="349"/>
    </row>
    <row r="20" spans="1:6" s="359" customFormat="1" ht="22.5" customHeight="1">
      <c r="A20" s="355" t="s">
        <v>163</v>
      </c>
      <c r="B20" s="356">
        <v>16.4</v>
      </c>
      <c r="C20" s="356">
        <v>80.6</v>
      </c>
      <c r="D20" s="356">
        <v>77.4</v>
      </c>
      <c r="E20" s="357">
        <f t="shared" si="0"/>
        <v>4.134366925064584</v>
      </c>
      <c r="F20" s="358">
        <v>16</v>
      </c>
    </row>
    <row r="21" spans="1:6" s="359" customFormat="1" ht="22.5" customHeight="1">
      <c r="A21" s="355" t="s">
        <v>164</v>
      </c>
      <c r="B21" s="356">
        <v>26</v>
      </c>
      <c r="C21" s="356">
        <v>78</v>
      </c>
      <c r="D21" s="356">
        <v>72.9</v>
      </c>
      <c r="E21" s="357">
        <f t="shared" si="0"/>
        <v>6.995884773662543</v>
      </c>
      <c r="F21" s="358">
        <v>17</v>
      </c>
    </row>
    <row r="22" spans="1:6" s="359" customFormat="1" ht="22.5" customHeight="1">
      <c r="A22" s="355" t="s">
        <v>165</v>
      </c>
      <c r="B22" s="356">
        <v>15</v>
      </c>
      <c r="C22" s="356">
        <v>58.9</v>
      </c>
      <c r="D22" s="356">
        <v>35</v>
      </c>
      <c r="E22" s="357">
        <f t="shared" si="0"/>
        <v>68.28571428571428</v>
      </c>
      <c r="F22" s="358">
        <v>18</v>
      </c>
    </row>
    <row r="23" spans="1:6" s="359" customFormat="1" ht="22.5" customHeight="1">
      <c r="A23" s="355" t="s">
        <v>166</v>
      </c>
      <c r="B23" s="356">
        <v>2.1</v>
      </c>
      <c r="C23" s="356">
        <v>57.8</v>
      </c>
      <c r="D23" s="356">
        <v>0</v>
      </c>
      <c r="E23" s="357" t="e">
        <f t="shared" si="0"/>
        <v>#DIV/0!</v>
      </c>
      <c r="F23" s="358">
        <v>19</v>
      </c>
    </row>
    <row r="24" spans="1:6" s="359" customFormat="1" ht="22.5" customHeight="1">
      <c r="A24" s="355" t="s">
        <v>167</v>
      </c>
      <c r="B24" s="356">
        <v>12.8</v>
      </c>
      <c r="C24" s="356">
        <v>39.8</v>
      </c>
      <c r="D24" s="356">
        <v>27.4</v>
      </c>
      <c r="E24" s="357">
        <f t="shared" si="0"/>
        <v>45.255474452554736</v>
      </c>
      <c r="F24" s="358">
        <v>20</v>
      </c>
    </row>
    <row r="25" spans="1:6" s="359" customFormat="1" ht="22.5" customHeight="1">
      <c r="A25" s="355" t="s">
        <v>168</v>
      </c>
      <c r="B25" s="356">
        <v>13.3</v>
      </c>
      <c r="C25" s="356">
        <v>36.3</v>
      </c>
      <c r="D25" s="356">
        <v>20.3</v>
      </c>
      <c r="E25" s="357">
        <f t="shared" si="0"/>
        <v>78.81773399014776</v>
      </c>
      <c r="F25" s="358">
        <v>21</v>
      </c>
    </row>
    <row r="26" spans="1:6" s="359" customFormat="1" ht="22.5" customHeight="1">
      <c r="A26" s="355" t="s">
        <v>169</v>
      </c>
      <c r="B26" s="356">
        <v>13.5</v>
      </c>
      <c r="C26" s="356">
        <v>34.6</v>
      </c>
      <c r="D26" s="356">
        <v>30.9</v>
      </c>
      <c r="E26" s="357">
        <f t="shared" si="0"/>
        <v>11.97411003236247</v>
      </c>
      <c r="F26" s="358">
        <v>22</v>
      </c>
    </row>
    <row r="27" spans="1:6" s="359" customFormat="1" ht="22.5" customHeight="1">
      <c r="A27" s="355" t="s">
        <v>170</v>
      </c>
      <c r="B27" s="356">
        <v>8.2</v>
      </c>
      <c r="C27" s="356">
        <v>28.6</v>
      </c>
      <c r="D27" s="356">
        <v>62.7</v>
      </c>
      <c r="E27" s="357">
        <f t="shared" si="0"/>
        <v>-54.385964912280706</v>
      </c>
      <c r="F27" s="358">
        <v>23</v>
      </c>
    </row>
    <row r="28" spans="1:6" s="359" customFormat="1" ht="22.5" customHeight="1">
      <c r="A28" s="355" t="s">
        <v>171</v>
      </c>
      <c r="B28" s="356">
        <v>25</v>
      </c>
      <c r="C28" s="356">
        <v>25</v>
      </c>
      <c r="D28" s="356">
        <v>0.1</v>
      </c>
      <c r="E28" s="357">
        <f t="shared" si="0"/>
        <v>24899.999999999996</v>
      </c>
      <c r="F28" s="358">
        <v>24</v>
      </c>
    </row>
    <row r="29" spans="1:6" s="359" customFormat="1" ht="22.5" customHeight="1">
      <c r="A29" s="355" t="s">
        <v>172</v>
      </c>
      <c r="B29" s="356">
        <v>4.6</v>
      </c>
      <c r="C29" s="356">
        <v>19.2</v>
      </c>
      <c r="D29" s="356">
        <v>10.5</v>
      </c>
      <c r="E29" s="357">
        <f t="shared" si="0"/>
        <v>82.85714285714285</v>
      </c>
      <c r="F29" s="358">
        <v>25</v>
      </c>
    </row>
    <row r="30" spans="1:6" s="359" customFormat="1" ht="22.5" customHeight="1">
      <c r="A30" s="355" t="s">
        <v>173</v>
      </c>
      <c r="B30" s="356">
        <v>3</v>
      </c>
      <c r="C30" s="356">
        <v>17.7</v>
      </c>
      <c r="D30" s="356">
        <v>21.1</v>
      </c>
      <c r="E30" s="357">
        <f t="shared" si="0"/>
        <v>-16.11374407582939</v>
      </c>
      <c r="F30" s="358">
        <v>26</v>
      </c>
    </row>
    <row r="31" spans="1:6" s="359" customFormat="1" ht="22.5" customHeight="1">
      <c r="A31" s="355" t="s">
        <v>174</v>
      </c>
      <c r="B31" s="356">
        <v>17.4</v>
      </c>
      <c r="C31" s="356">
        <v>17.4</v>
      </c>
      <c r="D31" s="356">
        <v>3.4</v>
      </c>
      <c r="E31" s="357">
        <f t="shared" si="0"/>
        <v>411.7647058823529</v>
      </c>
      <c r="F31" s="358">
        <v>27</v>
      </c>
    </row>
    <row r="32" spans="1:6" s="359" customFormat="1" ht="22.5" customHeight="1">
      <c r="A32" s="355" t="s">
        <v>175</v>
      </c>
      <c r="B32" s="356">
        <v>4</v>
      </c>
      <c r="C32" s="356">
        <v>17.4</v>
      </c>
      <c r="D32" s="356">
        <v>16.1</v>
      </c>
      <c r="E32" s="357">
        <f t="shared" si="0"/>
        <v>8.074534161490664</v>
      </c>
      <c r="F32" s="358">
        <v>28</v>
      </c>
    </row>
    <row r="33" spans="1:6" s="359" customFormat="1" ht="22.5" customHeight="1">
      <c r="A33" s="355" t="s">
        <v>176</v>
      </c>
      <c r="B33" s="356">
        <v>0.3</v>
      </c>
      <c r="C33" s="356">
        <v>16.7</v>
      </c>
      <c r="D33" s="356">
        <v>33.3</v>
      </c>
      <c r="E33" s="357">
        <f t="shared" si="0"/>
        <v>-49.849849849849846</v>
      </c>
      <c r="F33" s="358">
        <v>29</v>
      </c>
    </row>
    <row r="34" spans="1:6" s="359" customFormat="1" ht="22.5" customHeight="1">
      <c r="A34" s="355" t="s">
        <v>177</v>
      </c>
      <c r="B34" s="356">
        <v>7.2</v>
      </c>
      <c r="C34" s="356">
        <v>15.3</v>
      </c>
      <c r="D34" s="356">
        <v>12.6</v>
      </c>
      <c r="E34" s="357">
        <f t="shared" si="0"/>
        <v>21.428571428571438</v>
      </c>
      <c r="F34" s="358">
        <v>30</v>
      </c>
    </row>
    <row r="35" spans="1:6" ht="21" customHeight="1" hidden="1">
      <c r="A35" s="361"/>
      <c r="B35" s="362"/>
      <c r="C35" s="363"/>
      <c r="D35" s="363"/>
      <c r="E35" s="364" t="e">
        <f t="shared" si="0"/>
        <v>#DIV/0!</v>
      </c>
      <c r="F35" s="365"/>
    </row>
    <row r="36" spans="1:6" ht="40.5" customHeight="1">
      <c r="A36" s="466" t="str">
        <f>"　备注：全市工业企业全口径入库税收"&amp;'全市收'!E45&amp;"万元，"&amp;IF('全市收'!I45&gt;0,"增长","下降")&amp;IF('全市收'!I45&gt;0,'全市收'!I45,-'全市收'!I45)&amp;"%，"&amp;IF('全市收'!I45&gt;0,"增收","减收")&amp;IF('全市收'!I45&gt;0,'全市收'!J45,-'全市收'!J45)&amp;"万元，其中：地方级税收完成"&amp;'全市收'!E46&amp;"万元，"&amp;IF('全市收'!I46&gt;0,"增长","下降")&amp;IF('全市收'!J46&gt;0,'全市收'!I46,-'全市收'!I46)&amp;"%，"&amp;IF('全市收'!I46&gt;0,"增收","减收")&amp;IF('全市收'!I46&gt;0,'全市收'!J46,-'全市收'!J46)&amp;"万元。"</f>
        <v>　备注：全市工业企业全口径入库税收9447万元，增长24.8%，增收1879万元，其中：地方级税收完成6230万元，增长90.3%，增收2957万元。</v>
      </c>
      <c r="B36" s="466"/>
      <c r="C36" s="466"/>
      <c r="D36" s="466"/>
      <c r="E36" s="466"/>
      <c r="F36" s="466"/>
    </row>
    <row r="37" ht="15">
      <c r="B37" s="367"/>
    </row>
    <row r="38" spans="2:7" ht="32.25" customHeight="1">
      <c r="B38" s="369"/>
      <c r="C38" s="456" t="s">
        <v>18</v>
      </c>
      <c r="E38" s="458" t="s">
        <v>178</v>
      </c>
      <c r="F38" s="368"/>
      <c r="G38" s="465" t="s">
        <v>179</v>
      </c>
    </row>
    <row r="39" spans="1:7" ht="33" customHeight="1">
      <c r="A39" s="370" t="s">
        <v>180</v>
      </c>
      <c r="B39" s="371">
        <f>'全市收'!E45</f>
        <v>9447</v>
      </c>
      <c r="C39" s="457"/>
      <c r="E39" s="459"/>
      <c r="F39" s="368"/>
      <c r="G39" s="465"/>
    </row>
    <row r="40" spans="1:7" ht="34.5" customHeight="1">
      <c r="A40" s="370" t="s">
        <v>181</v>
      </c>
      <c r="B40" s="371">
        <f>'全市收'!E46</f>
        <v>6230</v>
      </c>
      <c r="C40" s="372">
        <f>'全市收'!E7</f>
        <v>31072</v>
      </c>
      <c r="D40" s="373">
        <f>ROUND(B40/C40*100,1)</f>
        <v>20.1</v>
      </c>
      <c r="E40" s="374">
        <f>'[1]数据分析表'!L19</f>
        <v>19969</v>
      </c>
      <c r="F40" s="375">
        <f>ROUND(B40/E40*100,1)</f>
        <v>31.2</v>
      </c>
      <c r="G40" s="376">
        <f>E40/C40</f>
        <v>0.642668640576725</v>
      </c>
    </row>
    <row r="41" spans="1:7" ht="34.5" customHeight="1">
      <c r="A41" s="454" t="s">
        <v>182</v>
      </c>
      <c r="B41" s="454"/>
      <c r="C41" s="454"/>
      <c r="D41" s="454"/>
      <c r="E41" s="454"/>
      <c r="F41" s="454"/>
      <c r="G41" s="454"/>
    </row>
    <row r="42" spans="1:7" ht="37.5" customHeight="1">
      <c r="A42" s="455" t="str">
        <f>"来自工业企业的全口径税收　　"&amp;'全市收'!E45&amp;"万元，"&amp;IF('全市收'!I45&gt;0,"增长　","下降　")&amp;IF('全市收'!I45&gt;0,'全市收'!I45,-'全市收'!I45)&amp;"%，"&amp;IF('全市收'!I45&gt;0,"增收　","减收　")&amp;IF('全市收'!I45&gt;0,'全市收'!J45,-'全市收'!J45)&amp;"万元，其中：地方级税收完成　　"&amp;'全市收'!E46&amp;"万元，"&amp;IF('全市收'!I46&gt;0,"增长　","下降　")&amp;IF('全市收'!I46&gt;0,'全市收'!I46,-'全市收'!I46)&amp;"%，"&amp;IF('全市收'!I46&gt;0,"增收　","减收　")&amp;IF('全市收'!I46&gt;0,'全市收'!J46,-'全市收'!J46)&amp;"万元，占正常工商税收的　"&amp;F40&amp;"%。"</f>
        <v>来自工业企业的全口径税收　　9447万元，增长　24.8%，增收　1879万元，其中：地方级税收完成　　6230万元，增长　90.3%，增收　2957万元，占正常工商税收的　31.2%。</v>
      </c>
      <c r="B42" s="455"/>
      <c r="C42" s="455"/>
      <c r="D42" s="455"/>
      <c r="E42" s="455"/>
      <c r="F42" s="455"/>
      <c r="G42" s="455"/>
    </row>
  </sheetData>
  <sheetProtection formatCells="0" formatColumns="0" formatRows="0" insertColumns="0" insertRows="0"/>
  <mergeCells count="10">
    <mergeCell ref="A1:F1"/>
    <mergeCell ref="G4:J5"/>
    <mergeCell ref="G6:J14"/>
    <mergeCell ref="G38:G39"/>
    <mergeCell ref="A36:F36"/>
    <mergeCell ref="E2:F2"/>
    <mergeCell ref="A41:G41"/>
    <mergeCell ref="A42:G42"/>
    <mergeCell ref="C38:C39"/>
    <mergeCell ref="E38:E39"/>
  </mergeCells>
  <printOptions horizontalCentered="1"/>
  <pageMargins left="0.43" right="0.39" top="0.83" bottom="0.65" header="0.1968503937007874" footer="0.5"/>
  <pageSetup blackAndWhite="1" errors="blank" firstPageNumber="33" useFirstPageNumber="1" fitToHeight="1" fitToWidth="1" horizontalDpi="600" verticalDpi="600" orientation="portrait" paperSize="13" scale="74" r:id="rId1"/>
  <headerFooter alignWithMargins="0">
    <oddFooter xml:space="preserve">&amp;C&amp;11·&amp;12  &amp;P  &amp;11·&amp;12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8" workbookViewId="0" topLeftCell="A1">
      <selection activeCell="A1" sqref="A1"/>
    </sheetView>
  </sheetViews>
  <sheetFormatPr defaultColWidth="9.00390625" defaultRowHeight="21" customHeight="1"/>
  <cols>
    <col min="1" max="16384" width="9.00390625" style="3" customWidth="1"/>
  </cols>
  <sheetData>
    <row r="1" s="2" customFormat="1" ht="21" customHeight="1"/>
  </sheetData>
  <printOptions horizontalCentered="1"/>
  <pageMargins left="0.984251968503937" right="0.4330708661417323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8" workbookViewId="0" topLeftCell="A1">
      <selection activeCell="A1" sqref="A1"/>
    </sheetView>
  </sheetViews>
  <sheetFormatPr defaultColWidth="9.00390625" defaultRowHeight="21" customHeight="1"/>
  <cols>
    <col min="1" max="16384" width="9.00390625" style="3" customWidth="1"/>
  </cols>
  <sheetData>
    <row r="1" s="1" customFormat="1" ht="30" customHeight="1">
      <c r="A1" s="4"/>
    </row>
  </sheetData>
  <printOptions horizontalCentered="1"/>
  <pageMargins left="0.984251968503937" right="0.4330708661417323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Zeros="0" view="pageBreakPreview" zoomScaleSheetLayoutView="100" workbookViewId="0" topLeftCell="A1">
      <pane xSplit="1" ySplit="4" topLeftCell="D5" activePane="bottomRight" state="frozen"/>
      <selection pane="topLeft" activeCell="P8" sqref="P8"/>
      <selection pane="topRight" activeCell="P8" sqref="P8"/>
      <selection pane="bottomLeft" activeCell="P8" sqref="P8"/>
      <selection pane="bottomRight" activeCell="J1" sqref="J1:AI16384"/>
    </sheetView>
  </sheetViews>
  <sheetFormatPr defaultColWidth="9.00390625" defaultRowHeight="23.25" customHeight="1"/>
  <cols>
    <col min="1" max="1" width="25.75390625" style="149" customWidth="1"/>
    <col min="2" max="2" width="8.875" style="149" hidden="1" customWidth="1"/>
    <col min="3" max="3" width="9.50390625" style="150" hidden="1" customWidth="1"/>
    <col min="4" max="4" width="9.25390625" style="150" customWidth="1"/>
    <col min="5" max="5" width="7.375" style="150" customWidth="1"/>
    <col min="6" max="6" width="8.875" style="145" customWidth="1"/>
    <col min="7" max="7" width="9.00390625" style="151" customWidth="1"/>
    <col min="8" max="8" width="8.75390625" style="152" customWidth="1"/>
    <col min="9" max="9" width="7.875" style="152" customWidth="1"/>
    <col min="10" max="10" width="9.375" style="151" hidden="1" customWidth="1"/>
    <col min="11" max="11" width="0" style="150" hidden="1" customWidth="1"/>
    <col min="12" max="12" width="0" style="153" hidden="1" customWidth="1"/>
    <col min="13" max="13" width="0" style="150" hidden="1" customWidth="1"/>
    <col min="14" max="14" width="12.25390625" style="150" hidden="1" customWidth="1"/>
    <col min="15" max="19" width="0" style="150" hidden="1" customWidth="1"/>
    <col min="20" max="20" width="17.125" style="150" hidden="1" customWidth="1"/>
    <col min="21" max="35" width="0" style="150" hidden="1" customWidth="1"/>
    <col min="36" max="16384" width="9.00390625" style="150" customWidth="1"/>
  </cols>
  <sheetData>
    <row r="1" spans="1:12" s="107" customFormat="1" ht="29.25" customHeight="1">
      <c r="A1" s="395" t="str">
        <f>"2017年"&amp;'[1]数据分析表'!J1&amp;"月邓州市一般公共预算支出完成情况表"</f>
        <v>2017年4月邓州市一般公共预算支出完成情况表</v>
      </c>
      <c r="B1" s="395"/>
      <c r="C1" s="395"/>
      <c r="D1" s="395"/>
      <c r="E1" s="395"/>
      <c r="F1" s="395"/>
      <c r="G1" s="395"/>
      <c r="H1" s="395"/>
      <c r="I1" s="395"/>
      <c r="L1" s="108"/>
    </row>
    <row r="2" spans="1:12" s="110" customFormat="1" ht="18" customHeight="1">
      <c r="A2" s="109" t="s">
        <v>53</v>
      </c>
      <c r="B2" s="109"/>
      <c r="F2" s="111"/>
      <c r="H2" s="396" t="s">
        <v>1</v>
      </c>
      <c r="I2" s="396"/>
      <c r="L2" s="112"/>
    </row>
    <row r="3" spans="1:20" s="115" customFormat="1" ht="18" customHeight="1">
      <c r="A3" s="390" t="s">
        <v>2</v>
      </c>
      <c r="B3" s="383" t="s">
        <v>3</v>
      </c>
      <c r="C3" s="383" t="s">
        <v>54</v>
      </c>
      <c r="D3" s="391" t="s">
        <v>3</v>
      </c>
      <c r="E3" s="397" t="s">
        <v>55</v>
      </c>
      <c r="F3" s="383" t="s">
        <v>56</v>
      </c>
      <c r="G3" s="383" t="s">
        <v>6</v>
      </c>
      <c r="H3" s="380" t="s">
        <v>7</v>
      </c>
      <c r="I3" s="380"/>
      <c r="J3" s="401" t="s">
        <v>57</v>
      </c>
      <c r="L3" s="116"/>
      <c r="M3" s="392" t="s">
        <v>58</v>
      </c>
      <c r="N3" s="392"/>
      <c r="O3" s="392" t="s">
        <v>11</v>
      </c>
      <c r="P3" s="392"/>
      <c r="Q3" s="398" t="s">
        <v>59</v>
      </c>
      <c r="R3" s="399"/>
      <c r="S3" s="400"/>
      <c r="T3" s="115" t="s">
        <v>194</v>
      </c>
    </row>
    <row r="4" spans="1:20" s="115" customFormat="1" ht="29.25" customHeight="1">
      <c r="A4" s="390"/>
      <c r="B4" s="383"/>
      <c r="C4" s="383"/>
      <c r="D4" s="378"/>
      <c r="E4" s="397"/>
      <c r="F4" s="383"/>
      <c r="G4" s="390"/>
      <c r="H4" s="117" t="s">
        <v>60</v>
      </c>
      <c r="I4" s="117" t="s">
        <v>13</v>
      </c>
      <c r="J4" s="402"/>
      <c r="L4" s="116" t="s">
        <v>61</v>
      </c>
      <c r="M4" s="18" t="s">
        <v>14</v>
      </c>
      <c r="N4" s="18" t="s">
        <v>15</v>
      </c>
      <c r="O4" s="18" t="s">
        <v>14</v>
      </c>
      <c r="P4" s="18" t="s">
        <v>15</v>
      </c>
      <c r="Q4" s="18" t="s">
        <v>50</v>
      </c>
      <c r="R4" s="18" t="s">
        <v>14</v>
      </c>
      <c r="S4" s="18" t="s">
        <v>15</v>
      </c>
      <c r="T4" s="115" t="s">
        <v>15</v>
      </c>
    </row>
    <row r="5" spans="1:12" s="115" customFormat="1" ht="42.75" customHeight="1">
      <c r="A5" s="38" t="s">
        <v>195</v>
      </c>
      <c r="B5" s="118">
        <f aca="true" t="shared" si="0" ref="B5:G5">SUM(B6:B8,B9,B13:B14,B15,B20,B23,B26:B27,B34:B38,,B39:B41)</f>
        <v>546406</v>
      </c>
      <c r="C5" s="118">
        <f t="shared" si="0"/>
        <v>0</v>
      </c>
      <c r="D5" s="118">
        <f t="shared" si="0"/>
        <v>546406</v>
      </c>
      <c r="E5" s="118">
        <f t="shared" si="0"/>
        <v>34114</v>
      </c>
      <c r="F5" s="118">
        <f t="shared" si="0"/>
        <v>200978</v>
      </c>
      <c r="G5" s="118">
        <f t="shared" si="0"/>
        <v>133927.53785644053</v>
      </c>
      <c r="H5" s="119">
        <f aca="true" t="shared" si="1" ref="H5:H41">ROUND(F5/D5*100,1)</f>
        <v>36.8</v>
      </c>
      <c r="I5" s="119">
        <f aca="true" t="shared" si="2" ref="I5:I41">ROUND((F5-G5)/G5*100,1)</f>
        <v>50.1</v>
      </c>
      <c r="J5" s="118">
        <v>166864</v>
      </c>
      <c r="L5" s="112">
        <f>SUM(L6:L41)</f>
        <v>0</v>
      </c>
    </row>
    <row r="6" spans="1:20" s="115" customFormat="1" ht="36.75" customHeight="1">
      <c r="A6" s="120" t="s">
        <v>196</v>
      </c>
      <c r="B6" s="45">
        <v>57576</v>
      </c>
      <c r="C6" s="118"/>
      <c r="D6" s="121">
        <v>57576</v>
      </c>
      <c r="E6" s="118">
        <f aca="true" t="shared" si="3" ref="E6:E41">F6-J6</f>
        <v>4068</v>
      </c>
      <c r="F6" s="122">
        <f>17089</f>
        <v>17089</v>
      </c>
      <c r="G6" s="122">
        <v>11535</v>
      </c>
      <c r="H6" s="119">
        <f t="shared" si="1"/>
        <v>29.7</v>
      </c>
      <c r="I6" s="119">
        <f t="shared" si="2"/>
        <v>48.1</v>
      </c>
      <c r="J6" s="122">
        <v>13021</v>
      </c>
      <c r="L6" s="112"/>
      <c r="M6" s="115">
        <v>9106</v>
      </c>
      <c r="N6" s="116">
        <f aca="true" t="shared" si="4" ref="N6:N24">F6-M6</f>
        <v>7983</v>
      </c>
      <c r="O6" s="115">
        <v>3657</v>
      </c>
      <c r="P6" s="116">
        <f aca="true" t="shared" si="5" ref="P6:P41">G6-O6</f>
        <v>7878</v>
      </c>
      <c r="Q6" s="116">
        <v>41651</v>
      </c>
      <c r="R6" s="116">
        <f aca="true" t="shared" si="6" ref="R6:R24">Q6-S6</f>
        <v>20121</v>
      </c>
      <c r="S6" s="116">
        <v>21530</v>
      </c>
      <c r="T6" s="116">
        <f aca="true" t="shared" si="7" ref="T6:T24">D6-R6</f>
        <v>37455</v>
      </c>
    </row>
    <row r="7" spans="1:20" s="115" customFormat="1" ht="36.75" customHeight="1">
      <c r="A7" s="43" t="s">
        <v>197</v>
      </c>
      <c r="B7" s="45">
        <v>601</v>
      </c>
      <c r="C7" s="118"/>
      <c r="D7" s="45">
        <v>601</v>
      </c>
      <c r="E7" s="118">
        <f t="shared" si="3"/>
        <v>16</v>
      </c>
      <c r="F7" s="122">
        <v>78</v>
      </c>
      <c r="G7" s="122">
        <v>55</v>
      </c>
      <c r="H7" s="119">
        <f t="shared" si="1"/>
        <v>13</v>
      </c>
      <c r="I7" s="119">
        <f t="shared" si="2"/>
        <v>41.8</v>
      </c>
      <c r="J7" s="122">
        <v>62</v>
      </c>
      <c r="L7" s="112"/>
      <c r="N7" s="116">
        <f t="shared" si="4"/>
        <v>78</v>
      </c>
      <c r="P7" s="116">
        <f t="shared" si="5"/>
        <v>55</v>
      </c>
      <c r="Q7" s="116">
        <v>233</v>
      </c>
      <c r="R7" s="116">
        <f t="shared" si="6"/>
        <v>0</v>
      </c>
      <c r="S7" s="116">
        <v>233</v>
      </c>
      <c r="T7" s="116">
        <f t="shared" si="7"/>
        <v>601</v>
      </c>
    </row>
    <row r="8" spans="1:20" s="115" customFormat="1" ht="36.75" customHeight="1">
      <c r="A8" s="120" t="s">
        <v>198</v>
      </c>
      <c r="B8" s="45">
        <v>27633</v>
      </c>
      <c r="C8" s="118"/>
      <c r="D8" s="45">
        <v>27633</v>
      </c>
      <c r="E8" s="118">
        <f t="shared" si="3"/>
        <v>1824</v>
      </c>
      <c r="F8" s="122">
        <v>9708</v>
      </c>
      <c r="G8" s="122">
        <v>6860</v>
      </c>
      <c r="H8" s="123">
        <f t="shared" si="1"/>
        <v>35.1</v>
      </c>
      <c r="I8" s="119">
        <f t="shared" si="2"/>
        <v>41.5</v>
      </c>
      <c r="J8" s="122">
        <v>7884</v>
      </c>
      <c r="L8" s="112"/>
      <c r="N8" s="116">
        <f t="shared" si="4"/>
        <v>9708</v>
      </c>
      <c r="P8" s="116">
        <f t="shared" si="5"/>
        <v>6860</v>
      </c>
      <c r="Q8" s="116">
        <v>20110</v>
      </c>
      <c r="R8" s="116">
        <f t="shared" si="6"/>
        <v>0</v>
      </c>
      <c r="S8" s="116">
        <v>20110</v>
      </c>
      <c r="T8" s="116">
        <f t="shared" si="7"/>
        <v>27633</v>
      </c>
    </row>
    <row r="9" spans="1:20" s="115" customFormat="1" ht="36.75" customHeight="1">
      <c r="A9" s="124" t="s">
        <v>199</v>
      </c>
      <c r="B9" s="45">
        <v>121605</v>
      </c>
      <c r="C9" s="118"/>
      <c r="D9" s="45">
        <v>121605</v>
      </c>
      <c r="E9" s="118">
        <f t="shared" si="3"/>
        <v>4456</v>
      </c>
      <c r="F9" s="122">
        <v>48144</v>
      </c>
      <c r="G9" s="122">
        <f>E9/E6*100</f>
        <v>109.5378564405113</v>
      </c>
      <c r="H9" s="123">
        <f t="shared" si="1"/>
        <v>39.6</v>
      </c>
      <c r="I9" s="119">
        <f t="shared" si="2"/>
        <v>43851.9</v>
      </c>
      <c r="J9" s="122">
        <v>43688</v>
      </c>
      <c r="L9" s="112"/>
      <c r="M9" s="115">
        <v>188</v>
      </c>
      <c r="N9" s="116">
        <f t="shared" si="4"/>
        <v>47956</v>
      </c>
      <c r="O9" s="115">
        <v>56</v>
      </c>
      <c r="P9" s="116">
        <f t="shared" si="5"/>
        <v>53.537856440511305</v>
      </c>
      <c r="Q9" s="116">
        <v>118485</v>
      </c>
      <c r="R9" s="116">
        <f t="shared" si="6"/>
        <v>1403</v>
      </c>
      <c r="S9" s="116">
        <v>117082</v>
      </c>
      <c r="T9" s="116">
        <f t="shared" si="7"/>
        <v>120202</v>
      </c>
    </row>
    <row r="10" spans="1:20" s="130" customFormat="1" ht="29.25" customHeight="1">
      <c r="A10" s="125" t="s">
        <v>200</v>
      </c>
      <c r="B10" s="126">
        <v>113421</v>
      </c>
      <c r="C10" s="127"/>
      <c r="D10" s="126">
        <v>113421</v>
      </c>
      <c r="E10" s="127">
        <f t="shared" si="3"/>
        <v>4209</v>
      </c>
      <c r="F10" s="128">
        <v>47383</v>
      </c>
      <c r="G10" s="128">
        <v>36431</v>
      </c>
      <c r="H10" s="129">
        <f t="shared" si="1"/>
        <v>41.8</v>
      </c>
      <c r="I10" s="129">
        <f t="shared" si="2"/>
        <v>30.1</v>
      </c>
      <c r="J10" s="128">
        <v>43174</v>
      </c>
      <c r="L10" s="112"/>
      <c r="M10" s="130">
        <v>188</v>
      </c>
      <c r="N10" s="131">
        <f t="shared" si="4"/>
        <v>47195</v>
      </c>
      <c r="O10" s="130">
        <v>56</v>
      </c>
      <c r="P10" s="116">
        <f t="shared" si="5"/>
        <v>36375</v>
      </c>
      <c r="Q10" s="131">
        <v>110136</v>
      </c>
      <c r="R10" s="131">
        <f t="shared" si="6"/>
        <v>1355</v>
      </c>
      <c r="S10" s="131">
        <v>108781</v>
      </c>
      <c r="T10" s="131">
        <f t="shared" si="7"/>
        <v>112066</v>
      </c>
    </row>
    <row r="11" spans="1:20" s="130" customFormat="1" ht="29.25" customHeight="1">
      <c r="A11" s="125" t="s">
        <v>201</v>
      </c>
      <c r="B11" s="126">
        <v>2256</v>
      </c>
      <c r="C11" s="127"/>
      <c r="D11" s="126">
        <v>2256</v>
      </c>
      <c r="E11" s="127">
        <f t="shared" si="3"/>
        <v>102</v>
      </c>
      <c r="F11" s="128">
        <v>102</v>
      </c>
      <c r="G11" s="128">
        <v>307</v>
      </c>
      <c r="H11" s="129">
        <f t="shared" si="1"/>
        <v>4.5</v>
      </c>
      <c r="I11" s="129">
        <f t="shared" si="2"/>
        <v>-66.8</v>
      </c>
      <c r="J11" s="128"/>
      <c r="L11" s="112"/>
      <c r="N11" s="131">
        <f t="shared" si="4"/>
        <v>102</v>
      </c>
      <c r="P11" s="116">
        <f t="shared" si="5"/>
        <v>307</v>
      </c>
      <c r="Q11" s="131">
        <v>2098</v>
      </c>
      <c r="R11" s="131">
        <f t="shared" si="6"/>
        <v>0</v>
      </c>
      <c r="S11" s="131">
        <v>2098</v>
      </c>
      <c r="T11" s="131">
        <f t="shared" si="7"/>
        <v>2256</v>
      </c>
    </row>
    <row r="12" spans="1:20" s="130" customFormat="1" ht="29.25" customHeight="1">
      <c r="A12" s="125" t="s">
        <v>202</v>
      </c>
      <c r="B12" s="126">
        <v>1100</v>
      </c>
      <c r="C12" s="127"/>
      <c r="D12" s="126">
        <v>1100</v>
      </c>
      <c r="E12" s="127">
        <f t="shared" si="3"/>
        <v>0</v>
      </c>
      <c r="F12" s="128"/>
      <c r="G12" s="128"/>
      <c r="H12" s="129">
        <f t="shared" si="1"/>
        <v>0</v>
      </c>
      <c r="I12" s="129" t="e">
        <f t="shared" si="2"/>
        <v>#DIV/0!</v>
      </c>
      <c r="J12" s="128"/>
      <c r="L12" s="112"/>
      <c r="N12" s="131">
        <f t="shared" si="4"/>
        <v>0</v>
      </c>
      <c r="P12" s="116">
        <f t="shared" si="5"/>
        <v>0</v>
      </c>
      <c r="Q12" s="131"/>
      <c r="R12" s="131">
        <f t="shared" si="6"/>
        <v>0</v>
      </c>
      <c r="S12" s="131"/>
      <c r="T12" s="131">
        <f t="shared" si="7"/>
        <v>1100</v>
      </c>
    </row>
    <row r="13" spans="1:20" s="115" customFormat="1" ht="39.75" customHeight="1">
      <c r="A13" s="120" t="s">
        <v>203</v>
      </c>
      <c r="B13" s="45">
        <v>447</v>
      </c>
      <c r="C13" s="118"/>
      <c r="D13" s="45">
        <v>447</v>
      </c>
      <c r="E13" s="118">
        <f t="shared" si="3"/>
        <v>10</v>
      </c>
      <c r="F13" s="122">
        <v>95</v>
      </c>
      <c r="G13" s="122">
        <v>45</v>
      </c>
      <c r="H13" s="123">
        <f t="shared" si="1"/>
        <v>21.3</v>
      </c>
      <c r="I13" s="119">
        <f t="shared" si="2"/>
        <v>111.1</v>
      </c>
      <c r="J13" s="122">
        <v>85</v>
      </c>
      <c r="L13" s="112"/>
      <c r="N13" s="116">
        <f t="shared" si="4"/>
        <v>95</v>
      </c>
      <c r="P13" s="116">
        <f t="shared" si="5"/>
        <v>45</v>
      </c>
      <c r="Q13" s="116">
        <v>442</v>
      </c>
      <c r="R13" s="116">
        <f t="shared" si="6"/>
        <v>0</v>
      </c>
      <c r="S13" s="116">
        <v>442</v>
      </c>
      <c r="T13" s="116">
        <f t="shared" si="7"/>
        <v>447</v>
      </c>
    </row>
    <row r="14" spans="1:20" s="115" customFormat="1" ht="39.75" customHeight="1">
      <c r="A14" s="132" t="s">
        <v>204</v>
      </c>
      <c r="B14" s="45">
        <v>4348</v>
      </c>
      <c r="C14" s="118"/>
      <c r="D14" s="45">
        <v>4348</v>
      </c>
      <c r="E14" s="118">
        <f t="shared" si="3"/>
        <v>117</v>
      </c>
      <c r="F14" s="122">
        <v>1447</v>
      </c>
      <c r="G14" s="122">
        <v>811</v>
      </c>
      <c r="H14" s="123">
        <f t="shared" si="1"/>
        <v>33.3</v>
      </c>
      <c r="I14" s="119">
        <f t="shared" si="2"/>
        <v>78.4</v>
      </c>
      <c r="J14" s="122">
        <v>1330</v>
      </c>
      <c r="L14" s="112"/>
      <c r="M14" s="115">
        <v>213</v>
      </c>
      <c r="N14" s="116">
        <f t="shared" si="4"/>
        <v>1234</v>
      </c>
      <c r="O14" s="115">
        <v>97</v>
      </c>
      <c r="P14" s="116">
        <f t="shared" si="5"/>
        <v>714</v>
      </c>
      <c r="Q14" s="116">
        <v>3999</v>
      </c>
      <c r="R14" s="116">
        <f t="shared" si="6"/>
        <v>583</v>
      </c>
      <c r="S14" s="116">
        <v>3416</v>
      </c>
      <c r="T14" s="116">
        <f t="shared" si="7"/>
        <v>3765</v>
      </c>
    </row>
    <row r="15" spans="1:20" s="115" customFormat="1" ht="39.75" customHeight="1">
      <c r="A15" s="124" t="s">
        <v>205</v>
      </c>
      <c r="B15" s="45">
        <v>86944</v>
      </c>
      <c r="C15" s="118"/>
      <c r="D15" s="121">
        <v>86944</v>
      </c>
      <c r="E15" s="118">
        <f t="shared" si="3"/>
        <v>10344</v>
      </c>
      <c r="F15" s="122">
        <v>49560</v>
      </c>
      <c r="G15" s="122">
        <v>25294</v>
      </c>
      <c r="H15" s="123">
        <f t="shared" si="1"/>
        <v>57</v>
      </c>
      <c r="I15" s="119">
        <f t="shared" si="2"/>
        <v>95.9</v>
      </c>
      <c r="J15" s="122">
        <v>39216</v>
      </c>
      <c r="L15" s="112"/>
      <c r="M15" s="115">
        <v>773</v>
      </c>
      <c r="N15" s="116">
        <f t="shared" si="4"/>
        <v>48787</v>
      </c>
      <c r="O15" s="115">
        <v>225</v>
      </c>
      <c r="P15" s="116">
        <f t="shared" si="5"/>
        <v>25069</v>
      </c>
      <c r="Q15" s="116">
        <v>74330</v>
      </c>
      <c r="R15" s="116">
        <f t="shared" si="6"/>
        <v>3077</v>
      </c>
      <c r="S15" s="116">
        <v>71253</v>
      </c>
      <c r="T15" s="116">
        <f t="shared" si="7"/>
        <v>83867</v>
      </c>
    </row>
    <row r="16" spans="1:20" s="130" customFormat="1" ht="31.5" customHeight="1">
      <c r="A16" s="133" t="s">
        <v>206</v>
      </c>
      <c r="B16" s="126">
        <v>31781</v>
      </c>
      <c r="C16" s="127"/>
      <c r="D16" s="126">
        <v>31781</v>
      </c>
      <c r="E16" s="127">
        <f t="shared" si="3"/>
        <v>313</v>
      </c>
      <c r="F16" s="128">
        <v>18319</v>
      </c>
      <c r="G16" s="128">
        <v>6649</v>
      </c>
      <c r="H16" s="129">
        <f t="shared" si="1"/>
        <v>57.6</v>
      </c>
      <c r="I16" s="129">
        <f t="shared" si="2"/>
        <v>175.5</v>
      </c>
      <c r="J16" s="128">
        <v>18006</v>
      </c>
      <c r="L16" s="112"/>
      <c r="M16" s="130">
        <v>483</v>
      </c>
      <c r="N16" s="131">
        <f t="shared" si="4"/>
        <v>17836</v>
      </c>
      <c r="O16" s="130">
        <v>41</v>
      </c>
      <c r="P16" s="116">
        <f t="shared" si="5"/>
        <v>6608</v>
      </c>
      <c r="Q16" s="131">
        <v>20652</v>
      </c>
      <c r="R16" s="131">
        <f t="shared" si="6"/>
        <v>1358</v>
      </c>
      <c r="S16" s="131">
        <v>19294</v>
      </c>
      <c r="T16" s="131">
        <f t="shared" si="7"/>
        <v>30423</v>
      </c>
    </row>
    <row r="17" spans="1:20" s="130" customFormat="1" ht="31.5" customHeight="1">
      <c r="A17" s="134" t="s">
        <v>207</v>
      </c>
      <c r="B17" s="126">
        <v>1783</v>
      </c>
      <c r="C17" s="127"/>
      <c r="D17" s="126">
        <v>1783</v>
      </c>
      <c r="E17" s="127">
        <f t="shared" si="3"/>
        <v>0</v>
      </c>
      <c r="F17" s="128">
        <v>1733</v>
      </c>
      <c r="G17" s="128">
        <v>1000</v>
      </c>
      <c r="H17" s="129">
        <f t="shared" si="1"/>
        <v>97.2</v>
      </c>
      <c r="I17" s="129">
        <f t="shared" si="2"/>
        <v>73.3</v>
      </c>
      <c r="J17" s="128">
        <v>1733</v>
      </c>
      <c r="L17" s="112"/>
      <c r="N17" s="131">
        <f t="shared" si="4"/>
        <v>1733</v>
      </c>
      <c r="P17" s="116">
        <f t="shared" si="5"/>
        <v>1000</v>
      </c>
      <c r="Q17" s="131">
        <v>1288</v>
      </c>
      <c r="R17" s="131">
        <f t="shared" si="6"/>
        <v>0</v>
      </c>
      <c r="S17" s="131">
        <v>1288</v>
      </c>
      <c r="T17" s="131">
        <f t="shared" si="7"/>
        <v>1783</v>
      </c>
    </row>
    <row r="18" spans="1:20" s="130" customFormat="1" ht="31.5" customHeight="1">
      <c r="A18" s="134" t="s">
        <v>208</v>
      </c>
      <c r="B18" s="126">
        <v>10535</v>
      </c>
      <c r="C18" s="127"/>
      <c r="D18" s="126">
        <v>10535</v>
      </c>
      <c r="E18" s="127">
        <f t="shared" si="3"/>
        <v>722</v>
      </c>
      <c r="F18" s="128">
        <v>722</v>
      </c>
      <c r="G18" s="128">
        <v>2774</v>
      </c>
      <c r="H18" s="129">
        <f t="shared" si="1"/>
        <v>6.9</v>
      </c>
      <c r="I18" s="129">
        <f t="shared" si="2"/>
        <v>-74</v>
      </c>
      <c r="J18" s="128"/>
      <c r="L18" s="112"/>
      <c r="N18" s="131">
        <f t="shared" si="4"/>
        <v>722</v>
      </c>
      <c r="P18" s="116">
        <f t="shared" si="5"/>
        <v>2774</v>
      </c>
      <c r="Q18" s="131">
        <v>10535</v>
      </c>
      <c r="R18" s="131">
        <f t="shared" si="6"/>
        <v>0</v>
      </c>
      <c r="S18" s="131">
        <v>10535</v>
      </c>
      <c r="T18" s="131">
        <f t="shared" si="7"/>
        <v>10535</v>
      </c>
    </row>
    <row r="19" spans="1:20" s="130" customFormat="1" ht="31.5" customHeight="1">
      <c r="A19" s="135" t="s">
        <v>209</v>
      </c>
      <c r="B19" s="126">
        <v>23375</v>
      </c>
      <c r="C19" s="127"/>
      <c r="D19" s="126">
        <v>23375</v>
      </c>
      <c r="E19" s="127">
        <f t="shared" si="3"/>
        <v>7000</v>
      </c>
      <c r="F19" s="128">
        <v>24767</v>
      </c>
      <c r="G19" s="128">
        <v>11401</v>
      </c>
      <c r="H19" s="129">
        <f t="shared" si="1"/>
        <v>106</v>
      </c>
      <c r="I19" s="129">
        <f t="shared" si="2"/>
        <v>117.2</v>
      </c>
      <c r="J19" s="128">
        <v>17767</v>
      </c>
      <c r="L19" s="112"/>
      <c r="N19" s="131">
        <f t="shared" si="4"/>
        <v>24767</v>
      </c>
      <c r="P19" s="116">
        <f t="shared" si="5"/>
        <v>11401</v>
      </c>
      <c r="Q19" s="131">
        <v>22310</v>
      </c>
      <c r="R19" s="131">
        <f t="shared" si="6"/>
        <v>0</v>
      </c>
      <c r="S19" s="131">
        <v>22310</v>
      </c>
      <c r="T19" s="131">
        <f t="shared" si="7"/>
        <v>23375</v>
      </c>
    </row>
    <row r="20" spans="1:20" s="115" customFormat="1" ht="42.75" customHeight="1">
      <c r="A20" s="124" t="s">
        <v>210</v>
      </c>
      <c r="B20" s="45">
        <v>102148</v>
      </c>
      <c r="C20" s="118"/>
      <c r="D20" s="45">
        <v>102148</v>
      </c>
      <c r="E20" s="118">
        <f t="shared" si="3"/>
        <v>2698</v>
      </c>
      <c r="F20" s="122">
        <v>40481</v>
      </c>
      <c r="G20" s="122">
        <v>38311</v>
      </c>
      <c r="H20" s="123">
        <f t="shared" si="1"/>
        <v>39.6</v>
      </c>
      <c r="I20" s="119">
        <f t="shared" si="2"/>
        <v>5.7</v>
      </c>
      <c r="J20" s="122">
        <v>37783</v>
      </c>
      <c r="L20" s="112"/>
      <c r="M20" s="115">
        <v>1097</v>
      </c>
      <c r="N20" s="116">
        <f t="shared" si="4"/>
        <v>39384</v>
      </c>
      <c r="O20" s="115">
        <v>546</v>
      </c>
      <c r="P20" s="116">
        <f t="shared" si="5"/>
        <v>37765</v>
      </c>
      <c r="Q20" s="116">
        <v>88160</v>
      </c>
      <c r="R20" s="116">
        <f t="shared" si="6"/>
        <v>273</v>
      </c>
      <c r="S20" s="116">
        <v>87887</v>
      </c>
      <c r="T20" s="116">
        <f t="shared" si="7"/>
        <v>101875</v>
      </c>
    </row>
    <row r="21" spans="1:20" s="130" customFormat="1" ht="30.75" customHeight="1">
      <c r="A21" s="136" t="s">
        <v>211</v>
      </c>
      <c r="B21" s="126">
        <v>9329</v>
      </c>
      <c r="C21" s="127"/>
      <c r="D21" s="126">
        <v>9329</v>
      </c>
      <c r="E21" s="127">
        <f t="shared" si="3"/>
        <v>2141</v>
      </c>
      <c r="F21" s="128">
        <v>8055</v>
      </c>
      <c r="G21" s="128">
        <v>3119</v>
      </c>
      <c r="H21" s="129">
        <f t="shared" si="1"/>
        <v>86.3</v>
      </c>
      <c r="I21" s="129">
        <f t="shared" si="2"/>
        <v>158.3</v>
      </c>
      <c r="J21" s="128">
        <v>5914</v>
      </c>
      <c r="L21" s="112"/>
      <c r="N21" s="131">
        <f t="shared" si="4"/>
        <v>8055</v>
      </c>
      <c r="P21" s="116">
        <f t="shared" si="5"/>
        <v>3119</v>
      </c>
      <c r="Q21" s="131">
        <v>7515</v>
      </c>
      <c r="R21" s="131">
        <f t="shared" si="6"/>
        <v>0</v>
      </c>
      <c r="S21" s="131">
        <v>7515</v>
      </c>
      <c r="T21" s="131">
        <f t="shared" si="7"/>
        <v>9329</v>
      </c>
    </row>
    <row r="22" spans="1:20" s="130" customFormat="1" ht="30.75" customHeight="1">
      <c r="A22" s="135" t="s">
        <v>212</v>
      </c>
      <c r="B22" s="126">
        <v>67316</v>
      </c>
      <c r="C22" s="127"/>
      <c r="D22" s="126">
        <v>67316</v>
      </c>
      <c r="E22" s="127">
        <f t="shared" si="3"/>
        <v>0</v>
      </c>
      <c r="F22" s="128">
        <v>24524</v>
      </c>
      <c r="G22" s="128">
        <v>30656</v>
      </c>
      <c r="H22" s="129">
        <f t="shared" si="1"/>
        <v>36.4</v>
      </c>
      <c r="I22" s="129">
        <f t="shared" si="2"/>
        <v>-20</v>
      </c>
      <c r="J22" s="128">
        <v>24524</v>
      </c>
      <c r="L22" s="112"/>
      <c r="N22" s="131">
        <f t="shared" si="4"/>
        <v>24524</v>
      </c>
      <c r="P22" s="116">
        <f t="shared" si="5"/>
        <v>30656</v>
      </c>
      <c r="Q22" s="131">
        <v>66347</v>
      </c>
      <c r="R22" s="131">
        <f t="shared" si="6"/>
        <v>371</v>
      </c>
      <c r="S22" s="131">
        <v>65976</v>
      </c>
      <c r="T22" s="131">
        <f t="shared" si="7"/>
        <v>66945</v>
      </c>
    </row>
    <row r="23" spans="1:20" s="115" customFormat="1" ht="37.5" customHeight="1">
      <c r="A23" s="124" t="s">
        <v>213</v>
      </c>
      <c r="B23" s="45">
        <v>4042</v>
      </c>
      <c r="C23" s="118"/>
      <c r="D23" s="45">
        <v>4042</v>
      </c>
      <c r="E23" s="118">
        <f t="shared" si="3"/>
        <v>200</v>
      </c>
      <c r="F23" s="122">
        <v>996</v>
      </c>
      <c r="G23" s="122">
        <v>940</v>
      </c>
      <c r="H23" s="123">
        <f t="shared" si="1"/>
        <v>24.6</v>
      </c>
      <c r="I23" s="119">
        <f t="shared" si="2"/>
        <v>6</v>
      </c>
      <c r="J23" s="122">
        <v>796</v>
      </c>
      <c r="L23" s="112"/>
      <c r="N23" s="116">
        <f t="shared" si="4"/>
        <v>996</v>
      </c>
      <c r="P23" s="116">
        <f t="shared" si="5"/>
        <v>940</v>
      </c>
      <c r="Q23" s="116">
        <v>3633</v>
      </c>
      <c r="R23" s="116">
        <f t="shared" si="6"/>
        <v>0</v>
      </c>
      <c r="S23" s="116">
        <v>3633</v>
      </c>
      <c r="T23" s="116">
        <f t="shared" si="7"/>
        <v>4042</v>
      </c>
    </row>
    <row r="24" spans="1:20" s="130" customFormat="1" ht="31.5" customHeight="1">
      <c r="A24" s="137" t="s">
        <v>214</v>
      </c>
      <c r="B24" s="126">
        <v>973</v>
      </c>
      <c r="C24" s="127"/>
      <c r="D24" s="126">
        <v>973</v>
      </c>
      <c r="E24" s="127">
        <f t="shared" si="3"/>
        <v>195</v>
      </c>
      <c r="F24" s="128">
        <v>517</v>
      </c>
      <c r="G24" s="128">
        <v>593</v>
      </c>
      <c r="H24" s="129">
        <f t="shared" si="1"/>
        <v>53.1</v>
      </c>
      <c r="I24" s="129">
        <f t="shared" si="2"/>
        <v>-12.8</v>
      </c>
      <c r="J24" s="128">
        <v>322</v>
      </c>
      <c r="L24" s="112"/>
      <c r="N24" s="131">
        <f t="shared" si="4"/>
        <v>517</v>
      </c>
      <c r="P24" s="116">
        <f t="shared" si="5"/>
        <v>593</v>
      </c>
      <c r="Q24" s="131">
        <v>807</v>
      </c>
      <c r="R24" s="131">
        <f t="shared" si="6"/>
        <v>0</v>
      </c>
      <c r="S24" s="131">
        <v>807</v>
      </c>
      <c r="T24" s="131">
        <f t="shared" si="7"/>
        <v>973</v>
      </c>
    </row>
    <row r="25" spans="1:20" s="130" customFormat="1" ht="31.5" customHeight="1">
      <c r="A25" s="137" t="s">
        <v>215</v>
      </c>
      <c r="B25" s="126"/>
      <c r="C25" s="127"/>
      <c r="D25" s="126"/>
      <c r="E25" s="127">
        <f t="shared" si="3"/>
        <v>0</v>
      </c>
      <c r="F25" s="128"/>
      <c r="G25" s="128"/>
      <c r="H25" s="129" t="e">
        <f t="shared" si="1"/>
        <v>#DIV/0!</v>
      </c>
      <c r="I25" s="129" t="e">
        <f t="shared" si="2"/>
        <v>#DIV/0!</v>
      </c>
      <c r="J25" s="128"/>
      <c r="L25" s="112"/>
      <c r="N25" s="131"/>
      <c r="P25" s="116">
        <f t="shared" si="5"/>
        <v>0</v>
      </c>
      <c r="Q25" s="131"/>
      <c r="R25" s="131"/>
      <c r="S25" s="131"/>
      <c r="T25" s="131"/>
    </row>
    <row r="26" spans="1:20" s="115" customFormat="1" ht="36" customHeight="1">
      <c r="A26" s="124" t="s">
        <v>216</v>
      </c>
      <c r="B26" s="45">
        <v>12178</v>
      </c>
      <c r="C26" s="118"/>
      <c r="D26" s="45">
        <v>12178</v>
      </c>
      <c r="E26" s="127">
        <f t="shared" si="3"/>
        <v>535</v>
      </c>
      <c r="F26" s="122">
        <v>9052</v>
      </c>
      <c r="G26" s="122">
        <v>19696</v>
      </c>
      <c r="H26" s="123">
        <f t="shared" si="1"/>
        <v>74.3</v>
      </c>
      <c r="I26" s="119">
        <f t="shared" si="2"/>
        <v>-54</v>
      </c>
      <c r="J26" s="122">
        <v>8517</v>
      </c>
      <c r="L26" s="112"/>
      <c r="M26" s="115">
        <v>698</v>
      </c>
      <c r="N26" s="116">
        <f aca="true" t="shared" si="8" ref="N26:N41">F26-M26</f>
        <v>8354</v>
      </c>
      <c r="O26" s="115">
        <v>1020</v>
      </c>
      <c r="P26" s="116">
        <f t="shared" si="5"/>
        <v>18676</v>
      </c>
      <c r="Q26" s="116">
        <f>21128+1500</f>
        <v>22628</v>
      </c>
      <c r="R26" s="116">
        <f aca="true" t="shared" si="9" ref="R26:R41">Q26-S26</f>
        <v>2929</v>
      </c>
      <c r="S26" s="116">
        <v>19699</v>
      </c>
      <c r="T26" s="116">
        <f>D26-R26+1500</f>
        <v>10749</v>
      </c>
    </row>
    <row r="27" spans="1:20" s="115" customFormat="1" ht="36" customHeight="1">
      <c r="A27" s="132" t="s">
        <v>217</v>
      </c>
      <c r="B27" s="45">
        <v>86456</v>
      </c>
      <c r="C27" s="118"/>
      <c r="D27" s="121">
        <v>86456</v>
      </c>
      <c r="E27" s="127">
        <f t="shared" si="3"/>
        <v>3937</v>
      </c>
      <c r="F27" s="122">
        <v>10467</v>
      </c>
      <c r="G27" s="122">
        <v>17452</v>
      </c>
      <c r="H27" s="123">
        <f t="shared" si="1"/>
        <v>12.1</v>
      </c>
      <c r="I27" s="119">
        <f t="shared" si="2"/>
        <v>-40</v>
      </c>
      <c r="J27" s="122">
        <v>6530</v>
      </c>
      <c r="L27" s="112"/>
      <c r="M27" s="115">
        <v>905</v>
      </c>
      <c r="N27" s="116">
        <f t="shared" si="8"/>
        <v>9562</v>
      </c>
      <c r="O27" s="115">
        <v>728</v>
      </c>
      <c r="P27" s="116">
        <f t="shared" si="5"/>
        <v>16724</v>
      </c>
      <c r="Q27" s="116">
        <v>70840</v>
      </c>
      <c r="R27" s="116">
        <f t="shared" si="9"/>
        <v>3933</v>
      </c>
      <c r="S27" s="116">
        <v>66907</v>
      </c>
      <c r="T27" s="116">
        <f aca="true" t="shared" si="10" ref="T27:T41">D27-R27</f>
        <v>82523</v>
      </c>
    </row>
    <row r="28" spans="1:20" s="130" customFormat="1" ht="31.5" customHeight="1">
      <c r="A28" s="136" t="s">
        <v>218</v>
      </c>
      <c r="B28" s="126">
        <v>32754</v>
      </c>
      <c r="C28" s="127"/>
      <c r="D28" s="126">
        <v>32754</v>
      </c>
      <c r="E28" s="127">
        <f t="shared" si="3"/>
        <v>420</v>
      </c>
      <c r="F28" s="128">
        <v>2016</v>
      </c>
      <c r="G28" s="128">
        <v>3689</v>
      </c>
      <c r="H28" s="129">
        <f t="shared" si="1"/>
        <v>6.2</v>
      </c>
      <c r="I28" s="129">
        <f t="shared" si="2"/>
        <v>-45.4</v>
      </c>
      <c r="J28" s="128">
        <v>1596</v>
      </c>
      <c r="L28" s="112"/>
      <c r="M28" s="130">
        <v>884</v>
      </c>
      <c r="N28" s="131">
        <f t="shared" si="8"/>
        <v>1132</v>
      </c>
      <c r="O28" s="130">
        <v>728</v>
      </c>
      <c r="P28" s="116">
        <f t="shared" si="5"/>
        <v>2961</v>
      </c>
      <c r="Q28" s="131">
        <v>34146</v>
      </c>
      <c r="R28" s="131">
        <f t="shared" si="9"/>
        <v>3280</v>
      </c>
      <c r="S28" s="131">
        <v>30866</v>
      </c>
      <c r="T28" s="131">
        <f t="shared" si="10"/>
        <v>29474</v>
      </c>
    </row>
    <row r="29" spans="1:20" s="130" customFormat="1" ht="31.5" customHeight="1">
      <c r="A29" s="136" t="s">
        <v>219</v>
      </c>
      <c r="B29" s="126">
        <v>952</v>
      </c>
      <c r="C29" s="127"/>
      <c r="D29" s="126">
        <v>952</v>
      </c>
      <c r="E29" s="127">
        <f t="shared" si="3"/>
        <v>199</v>
      </c>
      <c r="F29" s="128">
        <v>2432</v>
      </c>
      <c r="G29" s="128">
        <v>163</v>
      </c>
      <c r="H29" s="129">
        <f t="shared" si="1"/>
        <v>255.5</v>
      </c>
      <c r="I29" s="129">
        <f t="shared" si="2"/>
        <v>1392</v>
      </c>
      <c r="J29" s="128">
        <v>2233</v>
      </c>
      <c r="L29" s="112"/>
      <c r="N29" s="131">
        <f t="shared" si="8"/>
        <v>2432</v>
      </c>
      <c r="P29" s="116">
        <f t="shared" si="5"/>
        <v>163</v>
      </c>
      <c r="Q29" s="131">
        <v>678</v>
      </c>
      <c r="R29" s="131">
        <f t="shared" si="9"/>
        <v>0</v>
      </c>
      <c r="S29" s="131">
        <v>678</v>
      </c>
      <c r="T29" s="131">
        <f t="shared" si="10"/>
        <v>952</v>
      </c>
    </row>
    <row r="30" spans="1:20" s="130" customFormat="1" ht="31.5" customHeight="1">
      <c r="A30" s="136" t="s">
        <v>220</v>
      </c>
      <c r="B30" s="126">
        <v>7566</v>
      </c>
      <c r="C30" s="127"/>
      <c r="D30" s="126">
        <v>7566</v>
      </c>
      <c r="E30" s="127">
        <f t="shared" si="3"/>
        <v>213</v>
      </c>
      <c r="F30" s="128">
        <v>844</v>
      </c>
      <c r="G30" s="128">
        <v>6965</v>
      </c>
      <c r="H30" s="129">
        <f t="shared" si="1"/>
        <v>11.2</v>
      </c>
      <c r="I30" s="129">
        <f t="shared" si="2"/>
        <v>-87.9</v>
      </c>
      <c r="J30" s="128">
        <v>631</v>
      </c>
      <c r="L30" s="112"/>
      <c r="N30" s="131">
        <f t="shared" si="8"/>
        <v>844</v>
      </c>
      <c r="P30" s="116">
        <f t="shared" si="5"/>
        <v>6965</v>
      </c>
      <c r="Q30" s="131">
        <v>6820</v>
      </c>
      <c r="R30" s="131">
        <f t="shared" si="9"/>
        <v>0</v>
      </c>
      <c r="S30" s="131">
        <v>6820</v>
      </c>
      <c r="T30" s="131">
        <f t="shared" si="10"/>
        <v>7566</v>
      </c>
    </row>
    <row r="31" spans="1:20" s="130" customFormat="1" ht="31.5" customHeight="1">
      <c r="A31" s="136" t="s">
        <v>221</v>
      </c>
      <c r="B31" s="126">
        <v>3031</v>
      </c>
      <c r="C31" s="127"/>
      <c r="D31" s="126">
        <v>3031</v>
      </c>
      <c r="E31" s="127">
        <f t="shared" si="3"/>
        <v>93</v>
      </c>
      <c r="F31" s="128">
        <v>2055</v>
      </c>
      <c r="G31" s="128">
        <v>367</v>
      </c>
      <c r="H31" s="129">
        <f t="shared" si="1"/>
        <v>67.8</v>
      </c>
      <c r="I31" s="129">
        <f t="shared" si="2"/>
        <v>459.9</v>
      </c>
      <c r="J31" s="128">
        <v>1962</v>
      </c>
      <c r="L31" s="112"/>
      <c r="N31" s="131">
        <f t="shared" si="8"/>
        <v>2055</v>
      </c>
      <c r="P31" s="116">
        <f t="shared" si="5"/>
        <v>367</v>
      </c>
      <c r="Q31" s="131">
        <v>2156</v>
      </c>
      <c r="R31" s="131">
        <f t="shared" si="9"/>
        <v>0</v>
      </c>
      <c r="S31" s="131">
        <v>2156</v>
      </c>
      <c r="T31" s="131">
        <f t="shared" si="10"/>
        <v>3031</v>
      </c>
    </row>
    <row r="32" spans="1:20" s="130" customFormat="1" ht="31.5" customHeight="1">
      <c r="A32" s="136" t="s">
        <v>222</v>
      </c>
      <c r="B32" s="126">
        <v>345</v>
      </c>
      <c r="C32" s="127"/>
      <c r="D32" s="138">
        <v>345</v>
      </c>
      <c r="E32" s="127">
        <f t="shared" si="3"/>
        <v>8</v>
      </c>
      <c r="F32" s="128">
        <v>95</v>
      </c>
      <c r="G32" s="128">
        <v>3328</v>
      </c>
      <c r="H32" s="129">
        <f t="shared" si="1"/>
        <v>27.5</v>
      </c>
      <c r="I32" s="129">
        <f t="shared" si="2"/>
        <v>-97.1</v>
      </c>
      <c r="J32" s="128">
        <v>87</v>
      </c>
      <c r="L32" s="112"/>
      <c r="M32" s="130">
        <v>21</v>
      </c>
      <c r="N32" s="131">
        <f t="shared" si="8"/>
        <v>74</v>
      </c>
      <c r="P32" s="116">
        <f t="shared" si="5"/>
        <v>3328</v>
      </c>
      <c r="Q32" s="131">
        <v>3693</v>
      </c>
      <c r="R32" s="131">
        <f t="shared" si="9"/>
        <v>289</v>
      </c>
      <c r="S32" s="131">
        <v>3404</v>
      </c>
      <c r="T32" s="131">
        <f t="shared" si="10"/>
        <v>56</v>
      </c>
    </row>
    <row r="33" spans="1:20" s="130" customFormat="1" ht="31.5" customHeight="1">
      <c r="A33" s="136" t="s">
        <v>223</v>
      </c>
      <c r="B33" s="126">
        <v>16115</v>
      </c>
      <c r="C33" s="127"/>
      <c r="D33" s="126">
        <v>16115</v>
      </c>
      <c r="E33" s="127">
        <f t="shared" si="3"/>
        <v>0</v>
      </c>
      <c r="F33" s="128"/>
      <c r="G33" s="128">
        <v>2654</v>
      </c>
      <c r="H33" s="129">
        <f t="shared" si="1"/>
        <v>0</v>
      </c>
      <c r="I33" s="129">
        <f t="shared" si="2"/>
        <v>-100</v>
      </c>
      <c r="J33" s="128"/>
      <c r="L33" s="112"/>
      <c r="N33" s="131">
        <f t="shared" si="8"/>
        <v>0</v>
      </c>
      <c r="P33" s="116">
        <f t="shared" si="5"/>
        <v>2654</v>
      </c>
      <c r="Q33" s="131">
        <v>8989</v>
      </c>
      <c r="R33" s="131">
        <f t="shared" si="9"/>
        <v>0</v>
      </c>
      <c r="S33" s="131">
        <v>8989</v>
      </c>
      <c r="T33" s="131">
        <f t="shared" si="10"/>
        <v>16115</v>
      </c>
    </row>
    <row r="34" spans="1:20" s="115" customFormat="1" ht="32.25" customHeight="1">
      <c r="A34" s="132" t="s">
        <v>224</v>
      </c>
      <c r="B34" s="45">
        <v>9483</v>
      </c>
      <c r="C34" s="118"/>
      <c r="D34" s="121">
        <v>9483</v>
      </c>
      <c r="E34" s="118">
        <f t="shared" si="3"/>
        <v>5142</v>
      </c>
      <c r="F34" s="139">
        <f>9649</f>
        <v>9649</v>
      </c>
      <c r="G34" s="139">
        <v>3450</v>
      </c>
      <c r="H34" s="123">
        <f t="shared" si="1"/>
        <v>101.8</v>
      </c>
      <c r="I34" s="119">
        <f t="shared" si="2"/>
        <v>179.7</v>
      </c>
      <c r="J34" s="139">
        <v>4507</v>
      </c>
      <c r="L34" s="112"/>
      <c r="N34" s="116">
        <f t="shared" si="8"/>
        <v>9649</v>
      </c>
      <c r="P34" s="116">
        <f t="shared" si="5"/>
        <v>3450</v>
      </c>
      <c r="Q34" s="116">
        <v>9972</v>
      </c>
      <c r="R34" s="116">
        <f t="shared" si="9"/>
        <v>0</v>
      </c>
      <c r="S34" s="116">
        <v>9972</v>
      </c>
      <c r="T34" s="116">
        <f t="shared" si="10"/>
        <v>9483</v>
      </c>
    </row>
    <row r="35" spans="1:20" s="115" customFormat="1" ht="32.25" customHeight="1">
      <c r="A35" s="43" t="s">
        <v>225</v>
      </c>
      <c r="B35" s="45">
        <v>6825</v>
      </c>
      <c r="C35" s="118"/>
      <c r="D35" s="45">
        <v>6825</v>
      </c>
      <c r="E35" s="118">
        <f t="shared" si="3"/>
        <v>37</v>
      </c>
      <c r="F35" s="139">
        <v>275</v>
      </c>
      <c r="G35" s="139">
        <v>147</v>
      </c>
      <c r="H35" s="123">
        <f t="shared" si="1"/>
        <v>4</v>
      </c>
      <c r="I35" s="119">
        <f t="shared" si="2"/>
        <v>87.1</v>
      </c>
      <c r="J35" s="139">
        <v>238</v>
      </c>
      <c r="L35" s="112"/>
      <c r="N35" s="116">
        <f t="shared" si="8"/>
        <v>275</v>
      </c>
      <c r="P35" s="116">
        <f t="shared" si="5"/>
        <v>147</v>
      </c>
      <c r="Q35" s="116">
        <v>6124</v>
      </c>
      <c r="R35" s="116">
        <f t="shared" si="9"/>
        <v>0</v>
      </c>
      <c r="S35" s="116">
        <v>6124</v>
      </c>
      <c r="T35" s="116">
        <f t="shared" si="10"/>
        <v>6825</v>
      </c>
    </row>
    <row r="36" spans="1:20" s="115" customFormat="1" ht="32.25" customHeight="1">
      <c r="A36" s="43" t="s">
        <v>226</v>
      </c>
      <c r="B36" s="45">
        <v>673</v>
      </c>
      <c r="C36" s="118"/>
      <c r="D36" s="121">
        <v>673</v>
      </c>
      <c r="E36" s="118">
        <f t="shared" si="3"/>
        <v>34</v>
      </c>
      <c r="F36" s="139">
        <v>482</v>
      </c>
      <c r="G36" s="139">
        <v>474</v>
      </c>
      <c r="H36" s="123">
        <f t="shared" si="1"/>
        <v>71.6</v>
      </c>
      <c r="I36" s="119">
        <f t="shared" si="2"/>
        <v>1.7</v>
      </c>
      <c r="J36" s="139">
        <v>448</v>
      </c>
      <c r="L36" s="112"/>
      <c r="N36" s="116">
        <f t="shared" si="8"/>
        <v>482</v>
      </c>
      <c r="P36" s="116">
        <f t="shared" si="5"/>
        <v>474</v>
      </c>
      <c r="Q36" s="116">
        <v>2057</v>
      </c>
      <c r="R36" s="116">
        <f t="shared" si="9"/>
        <v>0</v>
      </c>
      <c r="S36" s="116">
        <v>2057</v>
      </c>
      <c r="T36" s="116">
        <f t="shared" si="10"/>
        <v>673</v>
      </c>
    </row>
    <row r="37" spans="1:20" s="115" customFormat="1" ht="32.25" customHeight="1">
      <c r="A37" s="43" t="s">
        <v>227</v>
      </c>
      <c r="B37" s="45">
        <v>49</v>
      </c>
      <c r="C37" s="118"/>
      <c r="D37" s="121">
        <v>49</v>
      </c>
      <c r="E37" s="118">
        <f t="shared" si="3"/>
        <v>201</v>
      </c>
      <c r="F37" s="140">
        <v>207</v>
      </c>
      <c r="G37" s="140">
        <v>2097</v>
      </c>
      <c r="H37" s="123">
        <f t="shared" si="1"/>
        <v>422.4</v>
      </c>
      <c r="I37" s="119">
        <f t="shared" si="2"/>
        <v>-90.1</v>
      </c>
      <c r="J37" s="140">
        <v>6</v>
      </c>
      <c r="L37" s="112"/>
      <c r="N37" s="116">
        <f t="shared" si="8"/>
        <v>207</v>
      </c>
      <c r="P37" s="116">
        <f t="shared" si="5"/>
        <v>2097</v>
      </c>
      <c r="Q37" s="116">
        <v>20</v>
      </c>
      <c r="R37" s="116">
        <f t="shared" si="9"/>
        <v>0</v>
      </c>
      <c r="S37" s="116">
        <v>20</v>
      </c>
      <c r="T37" s="116">
        <f t="shared" si="10"/>
        <v>49</v>
      </c>
    </row>
    <row r="38" spans="1:20" s="115" customFormat="1" ht="32.25" customHeight="1">
      <c r="A38" s="43" t="s">
        <v>228</v>
      </c>
      <c r="B38" s="45">
        <v>4209</v>
      </c>
      <c r="C38" s="118"/>
      <c r="D38" s="121">
        <v>4209</v>
      </c>
      <c r="E38" s="118">
        <f t="shared" si="3"/>
        <v>225</v>
      </c>
      <c r="F38" s="139">
        <v>1036</v>
      </c>
      <c r="G38" s="139">
        <v>123</v>
      </c>
      <c r="H38" s="123">
        <f t="shared" si="1"/>
        <v>24.6</v>
      </c>
      <c r="I38" s="119">
        <f t="shared" si="2"/>
        <v>742.3</v>
      </c>
      <c r="J38" s="139">
        <v>811</v>
      </c>
      <c r="L38" s="112"/>
      <c r="N38" s="116">
        <f t="shared" si="8"/>
        <v>1036</v>
      </c>
      <c r="P38" s="116">
        <f t="shared" si="5"/>
        <v>123</v>
      </c>
      <c r="Q38" s="116">
        <v>3651</v>
      </c>
      <c r="R38" s="116">
        <f t="shared" si="9"/>
        <v>0</v>
      </c>
      <c r="S38" s="116">
        <v>3651</v>
      </c>
      <c r="T38" s="116">
        <f t="shared" si="10"/>
        <v>4209</v>
      </c>
    </row>
    <row r="39" spans="1:20" s="115" customFormat="1" ht="34.5" customHeight="1">
      <c r="A39" s="132" t="s">
        <v>229</v>
      </c>
      <c r="B39" s="45">
        <v>7626</v>
      </c>
      <c r="C39" s="118"/>
      <c r="D39" s="121">
        <v>7626</v>
      </c>
      <c r="E39" s="118">
        <f t="shared" si="3"/>
        <v>110</v>
      </c>
      <c r="F39" s="139">
        <v>711</v>
      </c>
      <c r="G39" s="139">
        <v>6244</v>
      </c>
      <c r="H39" s="123">
        <f t="shared" si="1"/>
        <v>9.3</v>
      </c>
      <c r="I39" s="119">
        <f t="shared" si="2"/>
        <v>-88.6</v>
      </c>
      <c r="J39" s="139">
        <v>601</v>
      </c>
      <c r="L39" s="112"/>
      <c r="M39" s="115">
        <v>42</v>
      </c>
      <c r="N39" s="116">
        <f t="shared" si="8"/>
        <v>669</v>
      </c>
      <c r="O39" s="115">
        <v>12</v>
      </c>
      <c r="P39" s="116">
        <f t="shared" si="5"/>
        <v>6232</v>
      </c>
      <c r="Q39" s="116">
        <v>20124</v>
      </c>
      <c r="R39" s="116">
        <f t="shared" si="9"/>
        <v>0</v>
      </c>
      <c r="S39" s="116">
        <v>20124</v>
      </c>
      <c r="T39" s="116">
        <f t="shared" si="10"/>
        <v>7626</v>
      </c>
    </row>
    <row r="40" spans="1:20" s="141" customFormat="1" ht="34.5" customHeight="1">
      <c r="A40" s="43" t="s">
        <v>230</v>
      </c>
      <c r="B40" s="45">
        <v>2442</v>
      </c>
      <c r="C40" s="118"/>
      <c r="D40" s="121">
        <v>2442</v>
      </c>
      <c r="E40" s="118">
        <f t="shared" si="3"/>
        <v>21</v>
      </c>
      <c r="F40" s="139">
        <v>98</v>
      </c>
      <c r="G40" s="139">
        <v>45</v>
      </c>
      <c r="H40" s="123">
        <f t="shared" si="1"/>
        <v>4</v>
      </c>
      <c r="I40" s="119">
        <f t="shared" si="2"/>
        <v>117.8</v>
      </c>
      <c r="J40" s="139">
        <v>77</v>
      </c>
      <c r="L40" s="112"/>
      <c r="N40" s="116">
        <f t="shared" si="8"/>
        <v>98</v>
      </c>
      <c r="P40" s="116">
        <f t="shared" si="5"/>
        <v>45</v>
      </c>
      <c r="Q40" s="116">
        <v>2351</v>
      </c>
      <c r="R40" s="116">
        <f t="shared" si="9"/>
        <v>0</v>
      </c>
      <c r="S40" s="116">
        <v>2351</v>
      </c>
      <c r="T40" s="116">
        <f t="shared" si="10"/>
        <v>2442</v>
      </c>
    </row>
    <row r="41" spans="1:20" s="141" customFormat="1" ht="34.5" customHeight="1">
      <c r="A41" s="43" t="s">
        <v>231</v>
      </c>
      <c r="B41" s="45">
        <v>11121</v>
      </c>
      <c r="C41" s="118"/>
      <c r="D41" s="45">
        <v>11121</v>
      </c>
      <c r="E41" s="118">
        <f t="shared" si="3"/>
        <v>139</v>
      </c>
      <c r="F41" s="139">
        <v>1403</v>
      </c>
      <c r="G41" s="139">
        <v>239</v>
      </c>
      <c r="H41" s="123">
        <f t="shared" si="1"/>
        <v>12.6</v>
      </c>
      <c r="I41" s="119">
        <f t="shared" si="2"/>
        <v>487</v>
      </c>
      <c r="J41" s="139">
        <v>1264</v>
      </c>
      <c r="L41" s="112"/>
      <c r="M41" s="141">
        <v>368</v>
      </c>
      <c r="N41" s="116">
        <f t="shared" si="8"/>
        <v>1035</v>
      </c>
      <c r="O41" s="141">
        <v>30</v>
      </c>
      <c r="P41" s="116">
        <f t="shared" si="5"/>
        <v>209</v>
      </c>
      <c r="Q41" s="116">
        <v>11518</v>
      </c>
      <c r="R41" s="116">
        <f t="shared" si="9"/>
        <v>1540</v>
      </c>
      <c r="S41" s="116">
        <v>9978</v>
      </c>
      <c r="T41" s="116">
        <f t="shared" si="10"/>
        <v>9581</v>
      </c>
    </row>
    <row r="42" spans="1:12" s="141" customFormat="1" ht="23.25" customHeight="1">
      <c r="A42" s="142"/>
      <c r="B42" s="142"/>
      <c r="C42" s="143"/>
      <c r="D42" s="144"/>
      <c r="E42" s="143"/>
      <c r="F42" s="145"/>
      <c r="G42" s="146"/>
      <c r="H42" s="147"/>
      <c r="I42" s="147"/>
      <c r="J42" s="110"/>
      <c r="L42" s="148"/>
    </row>
    <row r="43" spans="1:12" s="141" customFormat="1" ht="23.25" customHeight="1">
      <c r="A43" s="142" t="s">
        <v>62</v>
      </c>
      <c r="B43" s="142"/>
      <c r="C43" s="143"/>
      <c r="D43" s="143"/>
      <c r="E43" s="143"/>
      <c r="F43" s="145"/>
      <c r="G43" s="110"/>
      <c r="H43" s="147"/>
      <c r="I43" s="147"/>
      <c r="J43" s="110"/>
      <c r="L43" s="148"/>
    </row>
    <row r="44" ht="23.25" customHeight="1">
      <c r="F44" s="145">
        <v>0</v>
      </c>
    </row>
  </sheetData>
  <sheetProtection formatCells="0" formatColumns="0" formatRows="0" insertColumns="0" insertRows="0"/>
  <autoFilter ref="A5:I41"/>
  <mergeCells count="14">
    <mergeCell ref="Q3:S3"/>
    <mergeCell ref="F3:F4"/>
    <mergeCell ref="G3:G4"/>
    <mergeCell ref="H3:I3"/>
    <mergeCell ref="J3:J4"/>
    <mergeCell ref="M3:N3"/>
    <mergeCell ref="O3:P3"/>
    <mergeCell ref="A1:I1"/>
    <mergeCell ref="H2:I2"/>
    <mergeCell ref="A3:A4"/>
    <mergeCell ref="B3:B4"/>
    <mergeCell ref="C3:C4"/>
    <mergeCell ref="D3:D4"/>
    <mergeCell ref="E3:E4"/>
  </mergeCells>
  <printOptions horizontalCentered="1"/>
  <pageMargins left="0.5511811023622047" right="0.35433070866141736" top="0.76" bottom="0.71" header="0.1968503937007874" footer="0.51"/>
  <pageSetup blackAndWhite="1" errors="blank" firstPageNumber="18" useFirstPageNumber="1" horizontalDpi="600" verticalDpi="600" orientation="portrait" paperSize="13" scale="82" r:id="rId1"/>
  <headerFooter alignWithMargins="0">
    <oddFooter xml:space="preserve">&amp;C&amp;11·&amp;12  &amp;P  &amp;11·&amp;12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showZeros="0" view="pageBreakPreview" zoomScaleSheetLayoutView="100" workbookViewId="0" topLeftCell="A1">
      <pane xSplit="1" ySplit="4" topLeftCell="C5" activePane="bottomRight" state="frozen"/>
      <selection pane="topLeft" activeCell="P8" sqref="P8"/>
      <selection pane="topRight" activeCell="P8" sqref="P8"/>
      <selection pane="bottomLeft" activeCell="P8" sqref="P8"/>
      <selection pane="bottomRight" activeCell="J1" sqref="J1:U16384"/>
    </sheetView>
  </sheetViews>
  <sheetFormatPr defaultColWidth="9.00390625" defaultRowHeight="23.25" customHeight="1"/>
  <cols>
    <col min="1" max="1" width="22.50390625" style="95" customWidth="1"/>
    <col min="2" max="2" width="10.125" style="95" hidden="1" customWidth="1"/>
    <col min="3" max="3" width="9.50390625" style="96" customWidth="1"/>
    <col min="4" max="4" width="8.25390625" style="97" customWidth="1"/>
    <col min="5" max="5" width="9.75390625" style="96" customWidth="1"/>
    <col min="6" max="6" width="8.625" style="98" customWidth="1"/>
    <col min="7" max="7" width="8.125" style="99" customWidth="1"/>
    <col min="8" max="8" width="8.25390625" style="100" customWidth="1"/>
    <col min="9" max="9" width="8.375" style="101" customWidth="1"/>
    <col min="10" max="10" width="7.875" style="102" hidden="1" customWidth="1"/>
    <col min="11" max="11" width="10.25390625" style="103" hidden="1" customWidth="1"/>
    <col min="12" max="12" width="0" style="104" hidden="1" customWidth="1"/>
    <col min="13" max="13" width="12.375" style="96" hidden="1" customWidth="1"/>
    <col min="14" max="21" width="0" style="96" hidden="1" customWidth="1"/>
    <col min="22" max="16384" width="9.00390625" style="96" customWidth="1"/>
  </cols>
  <sheetData>
    <row r="1" spans="1:12" s="8" customFormat="1" ht="52.5" customHeight="1">
      <c r="A1" s="388" t="str">
        <f>"2017年"&amp;'[1]数据分析表'!J1&amp;"月邓州市本级一般公共预算收入完成情况表"</f>
        <v>2017年4月邓州市本级一般公共预算收入完成情况表</v>
      </c>
      <c r="B1" s="388"/>
      <c r="C1" s="388"/>
      <c r="D1" s="388"/>
      <c r="E1" s="388"/>
      <c r="F1" s="388"/>
      <c r="G1" s="388"/>
      <c r="H1" s="388"/>
      <c r="I1" s="388"/>
      <c r="J1" s="5"/>
      <c r="K1" s="6"/>
      <c r="L1" s="7"/>
    </row>
    <row r="2" spans="1:12" s="10" customFormat="1" ht="23.25" customHeight="1">
      <c r="A2" s="9" t="s">
        <v>63</v>
      </c>
      <c r="B2" s="9"/>
      <c r="D2" s="11"/>
      <c r="F2" s="12"/>
      <c r="G2" s="13"/>
      <c r="H2" s="389" t="s">
        <v>1</v>
      </c>
      <c r="I2" s="389"/>
      <c r="J2" s="11"/>
      <c r="L2" s="14"/>
    </row>
    <row r="3" spans="1:13" s="17" customFormat="1" ht="25.5" customHeight="1">
      <c r="A3" s="390" t="s">
        <v>2</v>
      </c>
      <c r="B3" s="381" t="s">
        <v>3</v>
      </c>
      <c r="C3" s="391" t="s">
        <v>3</v>
      </c>
      <c r="D3" s="379" t="s">
        <v>4</v>
      </c>
      <c r="E3" s="383" t="s">
        <v>5</v>
      </c>
      <c r="F3" s="383" t="s">
        <v>6</v>
      </c>
      <c r="G3" s="394" t="s">
        <v>183</v>
      </c>
      <c r="H3" s="380" t="s">
        <v>7</v>
      </c>
      <c r="I3" s="380"/>
      <c r="J3" s="385" t="s">
        <v>8</v>
      </c>
      <c r="K3" s="407" t="s">
        <v>9</v>
      </c>
      <c r="L3" s="405"/>
      <c r="M3" s="403"/>
    </row>
    <row r="4" spans="1:13" s="17" customFormat="1" ht="32.25" customHeight="1">
      <c r="A4" s="390"/>
      <c r="B4" s="382"/>
      <c r="C4" s="378"/>
      <c r="D4" s="379"/>
      <c r="E4" s="205"/>
      <c r="F4" s="390"/>
      <c r="G4" s="394"/>
      <c r="H4" s="15" t="s">
        <v>12</v>
      </c>
      <c r="I4" s="19" t="s">
        <v>13</v>
      </c>
      <c r="J4" s="385"/>
      <c r="K4" s="408"/>
      <c r="L4" s="406"/>
      <c r="M4" s="404"/>
    </row>
    <row r="5" spans="1:13" s="17" customFormat="1" ht="42" customHeight="1">
      <c r="A5" s="38" t="s">
        <v>185</v>
      </c>
      <c r="B5" s="38">
        <v>109901</v>
      </c>
      <c r="C5" s="39">
        <f>SUM(C7,C12,C29)</f>
        <v>104211</v>
      </c>
      <c r="D5" s="39">
        <f>ROUND(SUM(D7,D12,D29),0)</f>
        <v>6786</v>
      </c>
      <c r="E5" s="154">
        <f>ROUND(SUM(E7,E12,E29),0)</f>
        <v>37479</v>
      </c>
      <c r="F5" s="39">
        <f>SUM(F7,F12,F29)</f>
        <v>35275</v>
      </c>
      <c r="G5" s="155">
        <v>100</v>
      </c>
      <c r="H5" s="42">
        <f aca="true" t="shared" si="0" ref="H5:H23">ROUND(E5/C5*100,1)</f>
        <v>36</v>
      </c>
      <c r="I5" s="42">
        <f aca="true" t="shared" si="1" ref="I5:I23">ROUND((E5-F5)/F5*100,1)</f>
        <v>6.2</v>
      </c>
      <c r="J5" s="28">
        <f aca="true" t="shared" si="2" ref="J5:J23">E5-F5</f>
        <v>2204</v>
      </c>
      <c r="K5" s="154">
        <v>30693</v>
      </c>
      <c r="L5" s="29"/>
      <c r="M5" s="30"/>
    </row>
    <row r="6" spans="1:13" s="17" customFormat="1" ht="40.5" customHeight="1">
      <c r="A6" s="38" t="s">
        <v>18</v>
      </c>
      <c r="B6" s="38">
        <v>71771</v>
      </c>
      <c r="C6" s="39">
        <f>C7+C12</f>
        <v>60111</v>
      </c>
      <c r="D6" s="39">
        <f>SUM(D7,D12)</f>
        <v>4029</v>
      </c>
      <c r="E6" s="39">
        <f>SUM(E7,E12)</f>
        <v>19807</v>
      </c>
      <c r="F6" s="54">
        <f>SUM(F7,F12)</f>
        <v>19667</v>
      </c>
      <c r="G6" s="41">
        <f>SUM(G7,G12)</f>
        <v>63.455622727192754</v>
      </c>
      <c r="H6" s="42">
        <f t="shared" si="0"/>
        <v>33</v>
      </c>
      <c r="I6" s="42">
        <f t="shared" si="1"/>
        <v>0.7</v>
      </c>
      <c r="J6" s="28">
        <f t="shared" si="2"/>
        <v>140</v>
      </c>
      <c r="K6" s="39">
        <v>15778</v>
      </c>
      <c r="L6" s="29"/>
      <c r="M6" s="30"/>
    </row>
    <row r="7" spans="1:13" s="17" customFormat="1" ht="39" customHeight="1">
      <c r="A7" s="43" t="s">
        <v>19</v>
      </c>
      <c r="B7" s="43">
        <v>9055</v>
      </c>
      <c r="C7" s="39">
        <f>SUM(C8,C10:C11)</f>
        <v>16299</v>
      </c>
      <c r="D7" s="39">
        <f>SUM(D8,D10:D11)</f>
        <v>1558</v>
      </c>
      <c r="E7" s="39">
        <f>SUM(E8,E10:E11)</f>
        <v>6021</v>
      </c>
      <c r="F7" s="39">
        <f>SUM(F8,F10:F11)</f>
        <v>6998</v>
      </c>
      <c r="G7" s="41">
        <f>SUM(G8:G11)</f>
        <v>26.672357431960755</v>
      </c>
      <c r="H7" s="42">
        <f t="shared" si="0"/>
        <v>36.9</v>
      </c>
      <c r="I7" s="42">
        <f t="shared" si="1"/>
        <v>-14</v>
      </c>
      <c r="J7" s="28">
        <f t="shared" si="2"/>
        <v>-977</v>
      </c>
      <c r="K7" s="39">
        <v>4463</v>
      </c>
      <c r="L7" s="29"/>
      <c r="M7" s="30"/>
    </row>
    <row r="8" spans="1:13" s="17" customFormat="1" ht="36" customHeight="1">
      <c r="A8" s="44" t="s">
        <v>20</v>
      </c>
      <c r="B8" s="44">
        <v>6270</v>
      </c>
      <c r="C8" s="45">
        <v>13257</v>
      </c>
      <c r="D8" s="39">
        <f>E8-K8</f>
        <v>1519</v>
      </c>
      <c r="E8" s="45">
        <v>4018</v>
      </c>
      <c r="F8" s="156">
        <v>5548</v>
      </c>
      <c r="G8" s="41">
        <f>E8/E5*100</f>
        <v>10.720670242002187</v>
      </c>
      <c r="H8" s="42">
        <f t="shared" si="0"/>
        <v>30.3</v>
      </c>
      <c r="I8" s="42">
        <f t="shared" si="1"/>
        <v>-27.6</v>
      </c>
      <c r="J8" s="28">
        <f t="shared" si="2"/>
        <v>-1530</v>
      </c>
      <c r="K8" s="45">
        <v>2499</v>
      </c>
      <c r="L8" s="46"/>
      <c r="M8" s="47"/>
    </row>
    <row r="9" spans="1:13" s="17" customFormat="1" ht="36" customHeight="1">
      <c r="A9" s="48" t="s">
        <v>186</v>
      </c>
      <c r="B9" s="48">
        <v>2528</v>
      </c>
      <c r="C9" s="45">
        <v>7508</v>
      </c>
      <c r="D9" s="39">
        <f>E9-K9</f>
        <v>707</v>
      </c>
      <c r="E9" s="45">
        <v>2101</v>
      </c>
      <c r="F9" s="156">
        <v>3049</v>
      </c>
      <c r="G9" s="41">
        <f>E9/E6*100</f>
        <v>10.607361033977886</v>
      </c>
      <c r="H9" s="42">
        <f t="shared" si="0"/>
        <v>28</v>
      </c>
      <c r="I9" s="42">
        <f t="shared" si="1"/>
        <v>-31.1</v>
      </c>
      <c r="J9" s="28">
        <f t="shared" si="2"/>
        <v>-948</v>
      </c>
      <c r="K9" s="45">
        <v>1394</v>
      </c>
      <c r="L9" s="46"/>
      <c r="M9" s="47"/>
    </row>
    <row r="10" spans="1:13" s="17" customFormat="1" ht="36" customHeight="1">
      <c r="A10" s="44" t="s">
        <v>21</v>
      </c>
      <c r="B10" s="44">
        <v>2785</v>
      </c>
      <c r="C10" s="45">
        <v>3042</v>
      </c>
      <c r="D10" s="39">
        <f>E10-K10</f>
        <v>39</v>
      </c>
      <c r="E10" s="45">
        <v>2003</v>
      </c>
      <c r="F10" s="156">
        <v>1450</v>
      </c>
      <c r="G10" s="41">
        <f>E10/E5*100</f>
        <v>5.344326155980682</v>
      </c>
      <c r="H10" s="42">
        <f t="shared" si="0"/>
        <v>65.8</v>
      </c>
      <c r="I10" s="42">
        <f t="shared" si="1"/>
        <v>38.1</v>
      </c>
      <c r="J10" s="28">
        <f t="shared" si="2"/>
        <v>553</v>
      </c>
      <c r="K10" s="45">
        <v>1964</v>
      </c>
      <c r="L10" s="46"/>
      <c r="M10" s="47"/>
    </row>
    <row r="11" spans="1:13" s="17" customFormat="1" ht="36" customHeight="1" hidden="1">
      <c r="A11" s="44" t="s">
        <v>22</v>
      </c>
      <c r="B11" s="44"/>
      <c r="C11" s="45"/>
      <c r="D11" s="39">
        <f>E11-K11</f>
        <v>0</v>
      </c>
      <c r="E11" s="45"/>
      <c r="F11" s="156"/>
      <c r="G11" s="41">
        <f>E11/E5*100</f>
        <v>0</v>
      </c>
      <c r="H11" s="42" t="e">
        <f t="shared" si="0"/>
        <v>#DIV/0!</v>
      </c>
      <c r="I11" s="42" t="e">
        <f t="shared" si="1"/>
        <v>#DIV/0!</v>
      </c>
      <c r="J11" s="28">
        <f t="shared" si="2"/>
        <v>0</v>
      </c>
      <c r="K11" s="45"/>
      <c r="L11" s="29"/>
      <c r="M11" s="47"/>
    </row>
    <row r="12" spans="1:13" s="17" customFormat="1" ht="39" customHeight="1">
      <c r="A12" s="43" t="s">
        <v>23</v>
      </c>
      <c r="B12" s="43">
        <v>62716</v>
      </c>
      <c r="C12" s="39">
        <f>C13+C25+C26</f>
        <v>43812</v>
      </c>
      <c r="D12" s="39">
        <f>D13+D25+D26</f>
        <v>2471</v>
      </c>
      <c r="E12" s="54">
        <f>E13+E25+E26</f>
        <v>13786</v>
      </c>
      <c r="F12" s="54">
        <f>F13+F25+F26</f>
        <v>12669</v>
      </c>
      <c r="G12" s="41">
        <f>E12/E5*100</f>
        <v>36.783265295232</v>
      </c>
      <c r="H12" s="42">
        <f t="shared" si="0"/>
        <v>31.5</v>
      </c>
      <c r="I12" s="42">
        <f t="shared" si="1"/>
        <v>8.8</v>
      </c>
      <c r="J12" s="28">
        <f t="shared" si="2"/>
        <v>1117</v>
      </c>
      <c r="K12" s="54">
        <v>11315</v>
      </c>
      <c r="L12" s="29"/>
      <c r="M12" s="47"/>
    </row>
    <row r="13" spans="1:13" s="17" customFormat="1" ht="36" customHeight="1">
      <c r="A13" s="43" t="s">
        <v>24</v>
      </c>
      <c r="B13" s="43">
        <v>35016</v>
      </c>
      <c r="C13" s="39">
        <f>SUM(C14:C24)</f>
        <v>11412</v>
      </c>
      <c r="D13" s="39">
        <f>SUM(D14:D24)</f>
        <v>1256</v>
      </c>
      <c r="E13" s="39">
        <f>SUM(E14:E24)</f>
        <v>4885</v>
      </c>
      <c r="F13" s="39">
        <f>SUM(F14:F24)</f>
        <v>3395</v>
      </c>
      <c r="G13" s="41">
        <f>E13/E5*100</f>
        <v>13.03396568745164</v>
      </c>
      <c r="H13" s="42">
        <f t="shared" si="0"/>
        <v>42.8</v>
      </c>
      <c r="I13" s="42">
        <f t="shared" si="1"/>
        <v>43.9</v>
      </c>
      <c r="J13" s="28">
        <f t="shared" si="2"/>
        <v>1490</v>
      </c>
      <c r="K13" s="39">
        <v>3629</v>
      </c>
      <c r="L13" s="55"/>
      <c r="M13" s="47"/>
    </row>
    <row r="14" spans="1:13" s="17" customFormat="1" ht="36" customHeight="1">
      <c r="A14" s="44" t="s">
        <v>25</v>
      </c>
      <c r="B14" s="44">
        <v>20841</v>
      </c>
      <c r="C14" s="45"/>
      <c r="D14" s="39">
        <f aca="true" t="shared" si="3" ref="D14:D25">E14-K14</f>
        <v>0</v>
      </c>
      <c r="E14" s="45">
        <v>2</v>
      </c>
      <c r="F14" s="156"/>
      <c r="G14" s="41">
        <f>E14/E5*100</f>
        <v>0.005336321673470476</v>
      </c>
      <c r="H14" s="42" t="e">
        <f t="shared" si="0"/>
        <v>#DIV/0!</v>
      </c>
      <c r="I14" s="42" t="e">
        <f t="shared" si="1"/>
        <v>#DIV/0!</v>
      </c>
      <c r="J14" s="28">
        <f t="shared" si="2"/>
        <v>2</v>
      </c>
      <c r="K14" s="45">
        <v>2</v>
      </c>
      <c r="L14" s="55"/>
      <c r="M14" s="47"/>
    </row>
    <row r="15" spans="1:13" s="17" customFormat="1" ht="36" customHeight="1">
      <c r="A15" s="44" t="s">
        <v>21</v>
      </c>
      <c r="B15" s="44">
        <v>1815</v>
      </c>
      <c r="C15" s="45">
        <v>2235</v>
      </c>
      <c r="D15" s="39">
        <f t="shared" si="3"/>
        <v>159</v>
      </c>
      <c r="E15" s="45">
        <v>570</v>
      </c>
      <c r="F15" s="156">
        <v>365</v>
      </c>
      <c r="G15" s="41">
        <f>E15/E5*100</f>
        <v>1.5208516769390859</v>
      </c>
      <c r="H15" s="42">
        <f t="shared" si="0"/>
        <v>25.5</v>
      </c>
      <c r="I15" s="42">
        <f t="shared" si="1"/>
        <v>56.2</v>
      </c>
      <c r="J15" s="28">
        <f t="shared" si="2"/>
        <v>205</v>
      </c>
      <c r="K15" s="45">
        <v>411</v>
      </c>
      <c r="L15" s="55"/>
      <c r="M15" s="47"/>
    </row>
    <row r="16" spans="1:13" s="17" customFormat="1" ht="36" customHeight="1">
      <c r="A16" s="44" t="s">
        <v>26</v>
      </c>
      <c r="B16" s="44">
        <v>820</v>
      </c>
      <c r="C16" s="45">
        <v>646</v>
      </c>
      <c r="D16" s="39">
        <f t="shared" si="3"/>
        <v>79</v>
      </c>
      <c r="E16" s="45">
        <v>560</v>
      </c>
      <c r="F16" s="156">
        <v>311</v>
      </c>
      <c r="G16" s="41">
        <f>E16/E5*100</f>
        <v>1.4941700685717336</v>
      </c>
      <c r="H16" s="42">
        <f t="shared" si="0"/>
        <v>86.7</v>
      </c>
      <c r="I16" s="42">
        <f t="shared" si="1"/>
        <v>80.1</v>
      </c>
      <c r="J16" s="28">
        <f t="shared" si="2"/>
        <v>249</v>
      </c>
      <c r="K16" s="45">
        <v>481</v>
      </c>
      <c r="L16" s="55"/>
      <c r="M16" s="47"/>
    </row>
    <row r="17" spans="1:13" s="17" customFormat="1" ht="36" customHeight="1">
      <c r="A17" s="44" t="s">
        <v>27</v>
      </c>
      <c r="B17" s="44">
        <v>210</v>
      </c>
      <c r="C17" s="45">
        <v>96</v>
      </c>
      <c r="D17" s="39">
        <f t="shared" si="3"/>
        <v>0</v>
      </c>
      <c r="E17" s="45">
        <v>0</v>
      </c>
      <c r="F17" s="156">
        <v>44</v>
      </c>
      <c r="G17" s="41">
        <f>E17/E5*100</f>
        <v>0</v>
      </c>
      <c r="H17" s="42">
        <f t="shared" si="0"/>
        <v>0</v>
      </c>
      <c r="I17" s="42">
        <f t="shared" si="1"/>
        <v>-100</v>
      </c>
      <c r="J17" s="28">
        <f t="shared" si="2"/>
        <v>-44</v>
      </c>
      <c r="K17" s="45">
        <v>0</v>
      </c>
      <c r="L17" s="55"/>
      <c r="M17" s="47"/>
    </row>
    <row r="18" spans="1:13" s="17" customFormat="1" ht="36" customHeight="1">
      <c r="A18" s="44" t="s">
        <v>28</v>
      </c>
      <c r="B18" s="44">
        <v>2900</v>
      </c>
      <c r="C18" s="45">
        <v>1706</v>
      </c>
      <c r="D18" s="39">
        <f t="shared" si="3"/>
        <v>259</v>
      </c>
      <c r="E18" s="45">
        <v>622</v>
      </c>
      <c r="F18" s="156">
        <v>690</v>
      </c>
      <c r="G18" s="41">
        <f>E18/E5*100</f>
        <v>1.6595960404493182</v>
      </c>
      <c r="H18" s="42">
        <f t="shared" si="0"/>
        <v>36.5</v>
      </c>
      <c r="I18" s="42">
        <f t="shared" si="1"/>
        <v>-9.9</v>
      </c>
      <c r="J18" s="28">
        <f t="shared" si="2"/>
        <v>-68</v>
      </c>
      <c r="K18" s="45">
        <v>363</v>
      </c>
      <c r="L18" s="55"/>
      <c r="M18" s="47"/>
    </row>
    <row r="19" spans="1:13" s="17" customFormat="1" ht="36" customHeight="1">
      <c r="A19" s="44" t="s">
        <v>29</v>
      </c>
      <c r="B19" s="44">
        <v>980</v>
      </c>
      <c r="C19" s="45">
        <v>751</v>
      </c>
      <c r="D19" s="39">
        <f t="shared" si="3"/>
        <v>97</v>
      </c>
      <c r="E19" s="45">
        <v>311</v>
      </c>
      <c r="F19" s="156">
        <v>205</v>
      </c>
      <c r="G19" s="41">
        <f>E19/E5*100</f>
        <v>0.8297980202246591</v>
      </c>
      <c r="H19" s="42">
        <f t="shared" si="0"/>
        <v>41.4</v>
      </c>
      <c r="I19" s="42">
        <f t="shared" si="1"/>
        <v>51.7</v>
      </c>
      <c r="J19" s="28">
        <f t="shared" si="2"/>
        <v>106</v>
      </c>
      <c r="K19" s="45">
        <v>214</v>
      </c>
      <c r="L19" s="55"/>
      <c r="M19" s="47"/>
    </row>
    <row r="20" spans="1:13" s="17" customFormat="1" ht="36" customHeight="1">
      <c r="A20" s="44" t="s">
        <v>30</v>
      </c>
      <c r="B20" s="44">
        <v>400</v>
      </c>
      <c r="C20" s="45">
        <v>205</v>
      </c>
      <c r="D20" s="39">
        <f t="shared" si="3"/>
        <v>24</v>
      </c>
      <c r="E20" s="45">
        <v>95</v>
      </c>
      <c r="F20" s="156">
        <v>53</v>
      </c>
      <c r="G20" s="41">
        <f>E20/E5*100</f>
        <v>0.25347527948984766</v>
      </c>
      <c r="H20" s="42">
        <f t="shared" si="0"/>
        <v>46.3</v>
      </c>
      <c r="I20" s="42">
        <f t="shared" si="1"/>
        <v>79.2</v>
      </c>
      <c r="J20" s="28">
        <f t="shared" si="2"/>
        <v>42</v>
      </c>
      <c r="K20" s="45">
        <v>71</v>
      </c>
      <c r="L20" s="55"/>
      <c r="M20" s="47"/>
    </row>
    <row r="21" spans="1:13" s="17" customFormat="1" ht="36" customHeight="1">
      <c r="A21" s="44" t="s">
        <v>31</v>
      </c>
      <c r="B21" s="44">
        <v>2800</v>
      </c>
      <c r="C21" s="45">
        <v>1977</v>
      </c>
      <c r="D21" s="39">
        <f t="shared" si="3"/>
        <v>357</v>
      </c>
      <c r="E21" s="45">
        <v>1573</v>
      </c>
      <c r="F21" s="156">
        <v>483</v>
      </c>
      <c r="G21" s="41">
        <f>E21/E5*100</f>
        <v>4.19701699618453</v>
      </c>
      <c r="H21" s="42">
        <f t="shared" si="0"/>
        <v>79.6</v>
      </c>
      <c r="I21" s="42">
        <f t="shared" si="1"/>
        <v>225.7</v>
      </c>
      <c r="J21" s="28">
        <f t="shared" si="2"/>
        <v>1090</v>
      </c>
      <c r="K21" s="45">
        <v>1216</v>
      </c>
      <c r="L21" s="55"/>
      <c r="M21" s="47"/>
    </row>
    <row r="22" spans="1:13" s="17" customFormat="1" ht="36" customHeight="1">
      <c r="A22" s="44" t="s">
        <v>32</v>
      </c>
      <c r="B22" s="44">
        <v>3600</v>
      </c>
      <c r="C22" s="45">
        <v>2511</v>
      </c>
      <c r="D22" s="39">
        <f t="shared" si="3"/>
        <v>178</v>
      </c>
      <c r="E22" s="45">
        <v>682</v>
      </c>
      <c r="F22" s="156">
        <v>921</v>
      </c>
      <c r="G22" s="41">
        <f>E22/E5*100</f>
        <v>1.8196856906534327</v>
      </c>
      <c r="H22" s="42">
        <f t="shared" si="0"/>
        <v>27.2</v>
      </c>
      <c r="I22" s="42">
        <f t="shared" si="1"/>
        <v>-26</v>
      </c>
      <c r="J22" s="28">
        <f t="shared" si="2"/>
        <v>-239</v>
      </c>
      <c r="K22" s="45">
        <v>504</v>
      </c>
      <c r="L22" s="55"/>
      <c r="M22" s="47"/>
    </row>
    <row r="23" spans="1:13" s="17" customFormat="1" ht="36" customHeight="1">
      <c r="A23" s="44" t="s">
        <v>33</v>
      </c>
      <c r="B23" s="44">
        <v>650</v>
      </c>
      <c r="C23" s="45">
        <v>1185</v>
      </c>
      <c r="D23" s="39">
        <f t="shared" si="3"/>
        <v>103</v>
      </c>
      <c r="E23" s="45">
        <v>470</v>
      </c>
      <c r="F23" s="156">
        <v>323</v>
      </c>
      <c r="G23" s="41">
        <f>E23/E5*100</f>
        <v>1.254035593265562</v>
      </c>
      <c r="H23" s="42">
        <f t="shared" si="0"/>
        <v>39.7</v>
      </c>
      <c r="I23" s="42">
        <f t="shared" si="1"/>
        <v>45.5</v>
      </c>
      <c r="J23" s="28">
        <f t="shared" si="2"/>
        <v>147</v>
      </c>
      <c r="K23" s="45">
        <v>367</v>
      </c>
      <c r="L23" s="55"/>
      <c r="M23" s="47"/>
    </row>
    <row r="24" spans="1:13" s="17" customFormat="1" ht="36" customHeight="1">
      <c r="A24" s="44" t="s">
        <v>187</v>
      </c>
      <c r="B24" s="44"/>
      <c r="C24" s="45">
        <v>100</v>
      </c>
      <c r="D24" s="39">
        <f t="shared" si="3"/>
        <v>0</v>
      </c>
      <c r="E24" s="45"/>
      <c r="F24" s="156"/>
      <c r="G24" s="41"/>
      <c r="H24" s="42"/>
      <c r="I24" s="42"/>
      <c r="J24" s="28"/>
      <c r="K24" s="45"/>
      <c r="L24" s="55"/>
      <c r="M24" s="47"/>
    </row>
    <row r="25" spans="1:13" s="17" customFormat="1" ht="36" customHeight="1">
      <c r="A25" s="58" t="s">
        <v>34</v>
      </c>
      <c r="B25" s="58"/>
      <c r="C25" s="45"/>
      <c r="D25" s="39">
        <f t="shared" si="3"/>
        <v>0</v>
      </c>
      <c r="E25" s="45"/>
      <c r="F25" s="156"/>
      <c r="G25" s="41">
        <f>E25/E5*100</f>
        <v>0</v>
      </c>
      <c r="H25" s="42" t="e">
        <f aca="true" t="shared" si="4" ref="H25:H30">ROUND(E25/C25*100,1)</f>
        <v>#DIV/0!</v>
      </c>
      <c r="I25" s="42" t="e">
        <f aca="true" t="shared" si="5" ref="I25:I39">ROUND((E25-F25)/F25*100,1)</f>
        <v>#DIV/0!</v>
      </c>
      <c r="J25" s="28">
        <f aca="true" t="shared" si="6" ref="J25:J33">E25-F25</f>
        <v>0</v>
      </c>
      <c r="K25" s="45"/>
      <c r="L25" s="29"/>
      <c r="M25" s="47"/>
    </row>
    <row r="26" spans="1:13" s="17" customFormat="1" ht="36" customHeight="1">
      <c r="A26" s="43" t="s">
        <v>35</v>
      </c>
      <c r="B26" s="43">
        <v>27700</v>
      </c>
      <c r="C26" s="39">
        <f>C27+C28</f>
        <v>32400</v>
      </c>
      <c r="D26" s="39">
        <f>D27+D28</f>
        <v>1215</v>
      </c>
      <c r="E26" s="39">
        <f>E27+E28</f>
        <v>8901</v>
      </c>
      <c r="F26" s="54">
        <f>F27+F28</f>
        <v>9274</v>
      </c>
      <c r="G26" s="41">
        <f>SUM(G27:G28)</f>
        <v>23.749299607780358</v>
      </c>
      <c r="H26" s="42">
        <f t="shared" si="4"/>
        <v>27.5</v>
      </c>
      <c r="I26" s="42">
        <f t="shared" si="5"/>
        <v>-4</v>
      </c>
      <c r="J26" s="28">
        <f t="shared" si="6"/>
        <v>-373</v>
      </c>
      <c r="K26" s="39">
        <v>7686</v>
      </c>
      <c r="L26" s="59"/>
      <c r="M26" s="47"/>
    </row>
    <row r="27" spans="1:13" s="17" customFormat="1" ht="36" customHeight="1">
      <c r="A27" s="44" t="s">
        <v>36</v>
      </c>
      <c r="B27" s="44">
        <v>26200</v>
      </c>
      <c r="C27" s="45">
        <v>29400</v>
      </c>
      <c r="D27" s="39">
        <f>E27-K27</f>
        <v>1007</v>
      </c>
      <c r="E27" s="45">
        <v>7930</v>
      </c>
      <c r="F27" s="156">
        <v>7321</v>
      </c>
      <c r="G27" s="41">
        <f>E27/E5*100</f>
        <v>21.15851543531044</v>
      </c>
      <c r="H27" s="42">
        <f t="shared" si="4"/>
        <v>27</v>
      </c>
      <c r="I27" s="42">
        <f t="shared" si="5"/>
        <v>8.3</v>
      </c>
      <c r="J27" s="28">
        <f t="shared" si="6"/>
        <v>609</v>
      </c>
      <c r="K27" s="45">
        <v>6923</v>
      </c>
      <c r="L27" s="59"/>
      <c r="M27" s="47"/>
    </row>
    <row r="28" spans="1:13" s="17" customFormat="1" ht="36" customHeight="1">
      <c r="A28" s="44" t="s">
        <v>37</v>
      </c>
      <c r="B28" s="44">
        <v>1500</v>
      </c>
      <c r="C28" s="45">
        <v>3000</v>
      </c>
      <c r="D28" s="39">
        <f>E28-K28</f>
        <v>208</v>
      </c>
      <c r="E28" s="45">
        <v>971</v>
      </c>
      <c r="F28" s="156">
        <v>1953</v>
      </c>
      <c r="G28" s="41">
        <f>E28/E5*100</f>
        <v>2.5907841724699168</v>
      </c>
      <c r="H28" s="42">
        <f t="shared" si="4"/>
        <v>32.4</v>
      </c>
      <c r="I28" s="42">
        <f t="shared" si="5"/>
        <v>-50.3</v>
      </c>
      <c r="J28" s="28">
        <f t="shared" si="6"/>
        <v>-982</v>
      </c>
      <c r="K28" s="45">
        <v>763</v>
      </c>
      <c r="L28" s="60"/>
      <c r="M28" s="47"/>
    </row>
    <row r="29" spans="1:13" s="17" customFormat="1" ht="45" customHeight="1">
      <c r="A29" s="43" t="s">
        <v>38</v>
      </c>
      <c r="B29" s="43">
        <v>38130</v>
      </c>
      <c r="C29" s="39">
        <f>SUM(C30,C35:C37,C38:C39)</f>
        <v>44100</v>
      </c>
      <c r="D29" s="39">
        <f>SUM(D30,D35:D37,D38:D39)</f>
        <v>2757</v>
      </c>
      <c r="E29" s="39">
        <f>SUM(E30,E35:E37,E38:E39)</f>
        <v>17672</v>
      </c>
      <c r="F29" s="39">
        <f>SUM(F30,F35:F37,F38:F39)</f>
        <v>15608</v>
      </c>
      <c r="G29" s="41">
        <f>E29/E5*100</f>
        <v>47.151738306785134</v>
      </c>
      <c r="H29" s="42">
        <f t="shared" si="4"/>
        <v>40.1</v>
      </c>
      <c r="I29" s="42">
        <f t="shared" si="5"/>
        <v>13.2</v>
      </c>
      <c r="J29" s="28">
        <f t="shared" si="6"/>
        <v>2064</v>
      </c>
      <c r="K29" s="39">
        <v>14915</v>
      </c>
      <c r="L29" s="60"/>
      <c r="M29" s="47"/>
    </row>
    <row r="30" spans="1:13" s="17" customFormat="1" ht="36.75" customHeight="1">
      <c r="A30" s="44" t="s">
        <v>39</v>
      </c>
      <c r="B30" s="44">
        <v>4100</v>
      </c>
      <c r="C30" s="45">
        <v>2900</v>
      </c>
      <c r="D30" s="39">
        <f aca="true" t="shared" si="7" ref="D30:D39">E30-K30</f>
        <v>17</v>
      </c>
      <c r="E30" s="45">
        <v>1340</v>
      </c>
      <c r="F30" s="156">
        <v>843</v>
      </c>
      <c r="G30" s="41">
        <f>E30/E5*100</f>
        <v>3.5753355212252194</v>
      </c>
      <c r="H30" s="42">
        <f t="shared" si="4"/>
        <v>46.2</v>
      </c>
      <c r="I30" s="42">
        <f t="shared" si="5"/>
        <v>59</v>
      </c>
      <c r="J30" s="28">
        <f t="shared" si="6"/>
        <v>497</v>
      </c>
      <c r="K30" s="45">
        <v>1323</v>
      </c>
      <c r="L30" s="59"/>
      <c r="M30" s="47"/>
    </row>
    <row r="31" spans="1:13" s="17" customFormat="1" ht="36.75" customHeight="1">
      <c r="A31" s="61" t="s">
        <v>188</v>
      </c>
      <c r="B31" s="157">
        <v>400</v>
      </c>
      <c r="C31" s="45"/>
      <c r="D31" s="39">
        <f t="shared" si="7"/>
        <v>111</v>
      </c>
      <c r="E31" s="158">
        <v>335</v>
      </c>
      <c r="F31" s="156">
        <v>408</v>
      </c>
      <c r="G31" s="41"/>
      <c r="H31" s="42"/>
      <c r="I31" s="42">
        <f t="shared" si="5"/>
        <v>-17.9</v>
      </c>
      <c r="J31" s="28">
        <f t="shared" si="6"/>
        <v>-73</v>
      </c>
      <c r="K31" s="45">
        <v>224</v>
      </c>
      <c r="L31" s="59"/>
      <c r="M31" s="47"/>
    </row>
    <row r="32" spans="1:13" s="17" customFormat="1" ht="36.75" customHeight="1">
      <c r="A32" s="61" t="s">
        <v>189</v>
      </c>
      <c r="B32" s="157">
        <v>1600</v>
      </c>
      <c r="C32" s="45"/>
      <c r="D32" s="39">
        <f t="shared" si="7"/>
        <v>57</v>
      </c>
      <c r="E32" s="158">
        <v>169</v>
      </c>
      <c r="F32" s="156">
        <v>203</v>
      </c>
      <c r="G32" s="41"/>
      <c r="H32" s="42"/>
      <c r="I32" s="42">
        <f t="shared" si="5"/>
        <v>-16.7</v>
      </c>
      <c r="J32" s="28">
        <f t="shared" si="6"/>
        <v>-34</v>
      </c>
      <c r="K32" s="45">
        <v>112</v>
      </c>
      <c r="L32" s="60"/>
      <c r="M32" s="47"/>
    </row>
    <row r="33" spans="1:13" s="17" customFormat="1" ht="36.75" customHeight="1">
      <c r="A33" s="61" t="s">
        <v>190</v>
      </c>
      <c r="B33" s="159"/>
      <c r="C33" s="45">
        <v>0</v>
      </c>
      <c r="D33" s="39">
        <f t="shared" si="7"/>
        <v>0</v>
      </c>
      <c r="E33" s="45">
        <v>0</v>
      </c>
      <c r="F33" s="156">
        <v>0</v>
      </c>
      <c r="G33" s="41"/>
      <c r="H33" s="42"/>
      <c r="I33" s="42" t="e">
        <f t="shared" si="5"/>
        <v>#DIV/0!</v>
      </c>
      <c r="J33" s="28">
        <f t="shared" si="6"/>
        <v>0</v>
      </c>
      <c r="K33" s="45">
        <v>0</v>
      </c>
      <c r="L33" s="60"/>
      <c r="M33" s="47"/>
    </row>
    <row r="34" spans="1:13" s="17" customFormat="1" ht="36.75" customHeight="1">
      <c r="A34" s="66" t="s">
        <v>191</v>
      </c>
      <c r="B34" s="48"/>
      <c r="C34" s="45">
        <v>0</v>
      </c>
      <c r="D34" s="39">
        <f t="shared" si="7"/>
        <v>0</v>
      </c>
      <c r="E34" s="45">
        <v>0</v>
      </c>
      <c r="F34" s="156">
        <v>0</v>
      </c>
      <c r="G34" s="41"/>
      <c r="H34" s="42"/>
      <c r="I34" s="42" t="e">
        <f t="shared" si="5"/>
        <v>#DIV/0!</v>
      </c>
      <c r="J34" s="28"/>
      <c r="K34" s="45">
        <v>0</v>
      </c>
      <c r="L34" s="60"/>
      <c r="M34" s="47"/>
    </row>
    <row r="35" spans="1:13" s="17" customFormat="1" ht="36.75" customHeight="1">
      <c r="A35" s="44" t="s">
        <v>40</v>
      </c>
      <c r="B35" s="44">
        <v>18800</v>
      </c>
      <c r="C35" s="45">
        <v>28317</v>
      </c>
      <c r="D35" s="39">
        <f t="shared" si="7"/>
        <v>1271</v>
      </c>
      <c r="E35" s="45">
        <v>6614</v>
      </c>
      <c r="F35" s="156">
        <v>9958</v>
      </c>
      <c r="G35" s="41">
        <f>E35/E5*100</f>
        <v>17.647215774166867</v>
      </c>
      <c r="H35" s="42">
        <f>ROUND(E35/C35*100,1)</f>
        <v>23.4</v>
      </c>
      <c r="I35" s="42">
        <f t="shared" si="5"/>
        <v>-33.6</v>
      </c>
      <c r="J35" s="28">
        <f>E35-F35</f>
        <v>-3344</v>
      </c>
      <c r="K35" s="45">
        <v>5343</v>
      </c>
      <c r="L35" s="60"/>
      <c r="M35" s="47"/>
    </row>
    <row r="36" spans="1:13" s="17" customFormat="1" ht="36" customHeight="1">
      <c r="A36" s="44" t="s">
        <v>41</v>
      </c>
      <c r="B36" s="44">
        <v>11000</v>
      </c>
      <c r="C36" s="45">
        <v>6800</v>
      </c>
      <c r="D36" s="39">
        <f t="shared" si="7"/>
        <v>752</v>
      </c>
      <c r="E36" s="45">
        <v>2957</v>
      </c>
      <c r="F36" s="156">
        <v>2248</v>
      </c>
      <c r="G36" s="41">
        <f>E36/E5*100</f>
        <v>7.889751594226099</v>
      </c>
      <c r="H36" s="42">
        <f>ROUND(E36/C36*100,1)</f>
        <v>43.5</v>
      </c>
      <c r="I36" s="42">
        <f t="shared" si="5"/>
        <v>31.5</v>
      </c>
      <c r="J36" s="28">
        <f>E36-F36</f>
        <v>709</v>
      </c>
      <c r="K36" s="45">
        <v>2205</v>
      </c>
      <c r="L36" s="67"/>
      <c r="M36" s="47"/>
    </row>
    <row r="37" spans="1:13" s="17" customFormat="1" ht="36" customHeight="1">
      <c r="A37" s="44" t="s">
        <v>42</v>
      </c>
      <c r="B37" s="44">
        <v>4000</v>
      </c>
      <c r="C37" s="45">
        <v>4300</v>
      </c>
      <c r="D37" s="39">
        <f t="shared" si="7"/>
        <v>473</v>
      </c>
      <c r="E37" s="45">
        <v>6290</v>
      </c>
      <c r="F37" s="156">
        <v>2364</v>
      </c>
      <c r="G37" s="41">
        <f>E37/E5*100</f>
        <v>16.78273166306465</v>
      </c>
      <c r="H37" s="42">
        <f>ROUND(E37/C37*100,1)</f>
        <v>146.3</v>
      </c>
      <c r="I37" s="42">
        <f t="shared" si="5"/>
        <v>166.1</v>
      </c>
      <c r="J37" s="28">
        <f>E37-F37</f>
        <v>3926</v>
      </c>
      <c r="K37" s="45">
        <v>5817</v>
      </c>
      <c r="L37" s="67"/>
      <c r="M37" s="47"/>
    </row>
    <row r="38" spans="1:13" s="17" customFormat="1" ht="36" customHeight="1">
      <c r="A38" s="160" t="s">
        <v>64</v>
      </c>
      <c r="B38" s="161"/>
      <c r="C38" s="45">
        <v>483</v>
      </c>
      <c r="D38" s="39">
        <f t="shared" si="7"/>
        <v>209</v>
      </c>
      <c r="E38" s="45">
        <v>425</v>
      </c>
      <c r="F38" s="156">
        <v>195</v>
      </c>
      <c r="G38" s="41"/>
      <c r="H38" s="42"/>
      <c r="I38" s="42">
        <f t="shared" si="5"/>
        <v>117.9</v>
      </c>
      <c r="J38" s="28">
        <f>E38-F38</f>
        <v>230</v>
      </c>
      <c r="K38" s="45">
        <v>216</v>
      </c>
      <c r="L38" s="67"/>
      <c r="M38" s="47"/>
    </row>
    <row r="39" spans="1:13" s="17" customFormat="1" ht="36" customHeight="1">
      <c r="A39" s="44" t="s">
        <v>65</v>
      </c>
      <c r="B39" s="44">
        <v>230</v>
      </c>
      <c r="C39" s="45">
        <v>1300</v>
      </c>
      <c r="D39" s="39">
        <f t="shared" si="7"/>
        <v>35</v>
      </c>
      <c r="E39" s="45">
        <v>46</v>
      </c>
      <c r="F39" s="156"/>
      <c r="G39" s="41">
        <f>E39/E5*100</f>
        <v>0.12273539848982097</v>
      </c>
      <c r="H39" s="42">
        <f>ROUND(E39/C39*100,1)</f>
        <v>3.5</v>
      </c>
      <c r="I39" s="42" t="e">
        <f t="shared" si="5"/>
        <v>#DIV/0!</v>
      </c>
      <c r="J39" s="28">
        <f>E39-F39</f>
        <v>46</v>
      </c>
      <c r="K39" s="45">
        <v>11</v>
      </c>
      <c r="L39" s="67"/>
      <c r="M39" s="47"/>
    </row>
    <row r="40" spans="1:12" s="17" customFormat="1" ht="15.75" customHeight="1">
      <c r="A40" s="162"/>
      <c r="B40" s="162"/>
      <c r="C40" s="163"/>
      <c r="D40" s="164"/>
      <c r="E40" s="164"/>
      <c r="F40" s="12"/>
      <c r="G40" s="165"/>
      <c r="H40" s="166"/>
      <c r="I40" s="167"/>
      <c r="J40" s="168"/>
      <c r="K40" s="6"/>
      <c r="L40" s="169"/>
    </row>
    <row r="41" spans="1:12" s="17" customFormat="1" ht="15.75" customHeight="1">
      <c r="A41" s="162"/>
      <c r="B41" s="162"/>
      <c r="C41" s="163"/>
      <c r="D41" s="164"/>
      <c r="E41" s="163"/>
      <c r="F41" s="12"/>
      <c r="G41" s="165"/>
      <c r="H41" s="165"/>
      <c r="I41" s="167"/>
      <c r="J41" s="168"/>
      <c r="K41" s="6"/>
      <c r="L41" s="169"/>
    </row>
  </sheetData>
  <sheetProtection formatCells="0" formatColumns="0" formatRows="0" insertColumns="0" insertRows="0"/>
  <mergeCells count="14">
    <mergeCell ref="A1:I1"/>
    <mergeCell ref="H2:I2"/>
    <mergeCell ref="A3:A4"/>
    <mergeCell ref="C3:C4"/>
    <mergeCell ref="D3:D4"/>
    <mergeCell ref="E3:E4"/>
    <mergeCell ref="F3:F4"/>
    <mergeCell ref="G3:G4"/>
    <mergeCell ref="B3:B4"/>
    <mergeCell ref="M3:M4"/>
    <mergeCell ref="L3:L4"/>
    <mergeCell ref="K3:K4"/>
    <mergeCell ref="H3:I3"/>
    <mergeCell ref="J3:J4"/>
  </mergeCells>
  <printOptions horizontalCentered="1"/>
  <pageMargins left="0.5511811023622047" right="0.5511811023622047" top="0.73" bottom="0.71" header="0.1968503937007874" footer="0.53"/>
  <pageSetup blackAndWhite="1" errors="blank" fitToHeight="2" horizontalDpi="600" verticalDpi="600" orientation="portrait" paperSize="13" scale="78" r:id="rId2"/>
  <headerFooter alignWithMargins="0">
    <oddFooter xml:space="preserve">&amp;C&amp;11·&amp;12  &amp;P  &amp;11·&amp;12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Zeros="0" view="pageBreakPreview" zoomScaleSheetLayoutView="100" workbookViewId="0" topLeftCell="A1">
      <pane ySplit="4" topLeftCell="BM5" activePane="bottomLeft" state="frozen"/>
      <selection pane="topLeft" activeCell="P8" sqref="P8"/>
      <selection pane="bottomLeft" activeCell="J1" sqref="J1:J16384"/>
    </sheetView>
  </sheetViews>
  <sheetFormatPr defaultColWidth="9.00390625" defaultRowHeight="23.25" customHeight="1"/>
  <cols>
    <col min="1" max="1" width="26.50390625" style="149" customWidth="1"/>
    <col min="2" max="2" width="8.125" style="149" hidden="1" customWidth="1"/>
    <col min="3" max="3" width="9.50390625" style="150" hidden="1" customWidth="1"/>
    <col min="4" max="4" width="9.25390625" style="150" customWidth="1"/>
    <col min="5" max="5" width="7.625" style="150" customWidth="1"/>
    <col min="6" max="6" width="8.875" style="145" customWidth="1"/>
    <col min="7" max="7" width="8.50390625" style="151" customWidth="1"/>
    <col min="8" max="8" width="7.00390625" style="152" customWidth="1"/>
    <col min="9" max="9" width="6.875" style="152" customWidth="1"/>
    <col min="10" max="10" width="9.375" style="151" hidden="1" customWidth="1"/>
    <col min="11" max="16384" width="9.00390625" style="150" customWidth="1"/>
  </cols>
  <sheetData>
    <row r="1" spans="1:9" s="107" customFormat="1" ht="33" customHeight="1">
      <c r="A1" s="395" t="str">
        <f>"2017年"&amp;'[1]数据分析表'!J1&amp;"月邓州市本级一般公共预算支出完成情况表"</f>
        <v>2017年4月邓州市本级一般公共预算支出完成情况表</v>
      </c>
      <c r="B1" s="395"/>
      <c r="C1" s="395"/>
      <c r="D1" s="395"/>
      <c r="E1" s="395"/>
      <c r="F1" s="395"/>
      <c r="G1" s="395"/>
      <c r="H1" s="395"/>
      <c r="I1" s="395"/>
    </row>
    <row r="2" spans="1:9" s="110" customFormat="1" ht="18" customHeight="1">
      <c r="A2" s="109" t="s">
        <v>66</v>
      </c>
      <c r="B2" s="109"/>
      <c r="F2" s="111"/>
      <c r="H2" s="396" t="s">
        <v>1</v>
      </c>
      <c r="I2" s="396"/>
    </row>
    <row r="3" spans="1:10" s="115" customFormat="1" ht="18" customHeight="1">
      <c r="A3" s="390" t="s">
        <v>2</v>
      </c>
      <c r="B3" s="383" t="s">
        <v>3</v>
      </c>
      <c r="C3" s="383" t="s">
        <v>54</v>
      </c>
      <c r="D3" s="383" t="s">
        <v>3</v>
      </c>
      <c r="E3" s="383" t="s">
        <v>55</v>
      </c>
      <c r="F3" s="383" t="s">
        <v>56</v>
      </c>
      <c r="G3" s="383" t="s">
        <v>6</v>
      </c>
      <c r="H3" s="380" t="s">
        <v>7</v>
      </c>
      <c r="I3" s="380"/>
      <c r="J3" s="409" t="s">
        <v>57</v>
      </c>
    </row>
    <row r="4" spans="1:10" s="115" customFormat="1" ht="29.25" customHeight="1">
      <c r="A4" s="390"/>
      <c r="B4" s="383"/>
      <c r="C4" s="383"/>
      <c r="D4" s="383"/>
      <c r="E4" s="383"/>
      <c r="F4" s="383"/>
      <c r="G4" s="390"/>
      <c r="H4" s="117" t="s">
        <v>12</v>
      </c>
      <c r="I4" s="117" t="s">
        <v>13</v>
      </c>
      <c r="J4" s="410"/>
    </row>
    <row r="5" spans="1:10" s="115" customFormat="1" ht="34.5" customHeight="1">
      <c r="A5" s="38" t="s">
        <v>195</v>
      </c>
      <c r="B5" s="118">
        <f aca="true" t="shared" si="0" ref="B5:G5">SUM(B6:B8,B9,B13:B14,B15,B20,B23,B26:B27,B34:B38,B39:B41)</f>
        <v>0</v>
      </c>
      <c r="C5" s="118">
        <f t="shared" si="0"/>
        <v>0</v>
      </c>
      <c r="D5" s="118">
        <f t="shared" si="0"/>
        <v>499192</v>
      </c>
      <c r="E5" s="118">
        <f t="shared" si="0"/>
        <v>31313</v>
      </c>
      <c r="F5" s="118">
        <f t="shared" si="0"/>
        <v>187588</v>
      </c>
      <c r="G5" s="118">
        <f t="shared" si="0"/>
        <v>125069.72276804784</v>
      </c>
      <c r="H5" s="119">
        <f aca="true" t="shared" si="1" ref="H5:H41">ROUND(F5/D5*100,1)</f>
        <v>37.6</v>
      </c>
      <c r="I5" s="119">
        <f aca="true" t="shared" si="2" ref="I5:I41">ROUND((F5-G5)/G5*100,1)</f>
        <v>50</v>
      </c>
      <c r="J5" s="118">
        <v>156275</v>
      </c>
    </row>
    <row r="6" spans="1:10" s="115" customFormat="1" ht="35.25" customHeight="1">
      <c r="A6" s="120" t="s">
        <v>196</v>
      </c>
      <c r="B6" s="45"/>
      <c r="C6" s="118"/>
      <c r="D6" s="45">
        <v>25442</v>
      </c>
      <c r="E6" s="118">
        <f aca="true" t="shared" si="3" ref="E6:E41">F6-J6</f>
        <v>2341</v>
      </c>
      <c r="F6" s="122">
        <v>7983</v>
      </c>
      <c r="G6" s="170">
        <v>6341</v>
      </c>
      <c r="H6" s="119">
        <f t="shared" si="1"/>
        <v>31.4</v>
      </c>
      <c r="I6" s="119">
        <f t="shared" si="2"/>
        <v>25.9</v>
      </c>
      <c r="J6" s="122">
        <v>5642</v>
      </c>
    </row>
    <row r="7" spans="1:10" s="115" customFormat="1" ht="35.25" customHeight="1">
      <c r="A7" s="43" t="s">
        <v>197</v>
      </c>
      <c r="B7" s="45"/>
      <c r="C7" s="118"/>
      <c r="D7" s="45">
        <v>601</v>
      </c>
      <c r="E7" s="118">
        <f t="shared" si="3"/>
        <v>16</v>
      </c>
      <c r="F7" s="122">
        <v>78</v>
      </c>
      <c r="G7" s="170">
        <v>55</v>
      </c>
      <c r="H7" s="119">
        <f t="shared" si="1"/>
        <v>13</v>
      </c>
      <c r="I7" s="119">
        <f t="shared" si="2"/>
        <v>41.8</v>
      </c>
      <c r="J7" s="122">
        <v>62</v>
      </c>
    </row>
    <row r="8" spans="1:10" s="115" customFormat="1" ht="35.25" customHeight="1">
      <c r="A8" s="120" t="s">
        <v>198</v>
      </c>
      <c r="B8" s="45"/>
      <c r="C8" s="118"/>
      <c r="D8" s="45">
        <v>27633</v>
      </c>
      <c r="E8" s="118">
        <f t="shared" si="3"/>
        <v>1824</v>
      </c>
      <c r="F8" s="122">
        <v>9708</v>
      </c>
      <c r="G8" s="170">
        <v>6860</v>
      </c>
      <c r="H8" s="119">
        <f t="shared" si="1"/>
        <v>35.1</v>
      </c>
      <c r="I8" s="119">
        <f t="shared" si="2"/>
        <v>41.5</v>
      </c>
      <c r="J8" s="122">
        <v>7884</v>
      </c>
    </row>
    <row r="9" spans="1:10" s="115" customFormat="1" ht="35.25" customHeight="1">
      <c r="A9" s="124" t="s">
        <v>199</v>
      </c>
      <c r="B9" s="45"/>
      <c r="C9" s="118"/>
      <c r="D9" s="45">
        <v>120463</v>
      </c>
      <c r="E9" s="118">
        <f t="shared" si="3"/>
        <v>4418</v>
      </c>
      <c r="F9" s="122">
        <v>47956</v>
      </c>
      <c r="G9" s="170">
        <f>E9/E6*100</f>
        <v>188.7227680478428</v>
      </c>
      <c r="H9" s="119">
        <f t="shared" si="1"/>
        <v>39.8</v>
      </c>
      <c r="I9" s="119">
        <f t="shared" si="2"/>
        <v>25310.8</v>
      </c>
      <c r="J9" s="122">
        <v>43538</v>
      </c>
    </row>
    <row r="10" spans="1:10" s="130" customFormat="1" ht="35.25" customHeight="1">
      <c r="A10" s="125" t="s">
        <v>200</v>
      </c>
      <c r="B10" s="126"/>
      <c r="C10" s="127"/>
      <c r="D10" s="126">
        <v>112320</v>
      </c>
      <c r="E10" s="127">
        <f t="shared" si="3"/>
        <v>4171</v>
      </c>
      <c r="F10" s="128">
        <v>47195</v>
      </c>
      <c r="G10" s="171">
        <v>36260</v>
      </c>
      <c r="H10" s="119">
        <f t="shared" si="1"/>
        <v>42</v>
      </c>
      <c r="I10" s="119">
        <f t="shared" si="2"/>
        <v>30.2</v>
      </c>
      <c r="J10" s="128">
        <v>43024</v>
      </c>
    </row>
    <row r="11" spans="1:10" s="130" customFormat="1" ht="35.25" customHeight="1">
      <c r="A11" s="125" t="s">
        <v>201</v>
      </c>
      <c r="B11" s="126"/>
      <c r="C11" s="127"/>
      <c r="D11" s="126">
        <v>2256</v>
      </c>
      <c r="E11" s="127">
        <f t="shared" si="3"/>
        <v>102</v>
      </c>
      <c r="F11" s="128">
        <v>102</v>
      </c>
      <c r="G11" s="171">
        <v>307</v>
      </c>
      <c r="H11" s="119">
        <f t="shared" si="1"/>
        <v>4.5</v>
      </c>
      <c r="I11" s="119">
        <f t="shared" si="2"/>
        <v>-66.8</v>
      </c>
      <c r="J11" s="128">
        <v>0</v>
      </c>
    </row>
    <row r="12" spans="1:10" s="130" customFormat="1" ht="35.25" customHeight="1">
      <c r="A12" s="125" t="s">
        <v>202</v>
      </c>
      <c r="B12" s="126"/>
      <c r="C12" s="127"/>
      <c r="D12" s="126">
        <v>1100</v>
      </c>
      <c r="E12" s="118">
        <f t="shared" si="3"/>
        <v>0</v>
      </c>
      <c r="F12" s="128">
        <v>0</v>
      </c>
      <c r="G12" s="171">
        <v>0</v>
      </c>
      <c r="H12" s="119">
        <f t="shared" si="1"/>
        <v>0</v>
      </c>
      <c r="I12" s="119" t="e">
        <f t="shared" si="2"/>
        <v>#DIV/0!</v>
      </c>
      <c r="J12" s="128">
        <v>0</v>
      </c>
    </row>
    <row r="13" spans="1:10" s="115" customFormat="1" ht="35.25" customHeight="1">
      <c r="A13" s="120" t="s">
        <v>203</v>
      </c>
      <c r="B13" s="45"/>
      <c r="C13" s="118"/>
      <c r="D13" s="45">
        <v>447</v>
      </c>
      <c r="E13" s="118">
        <f t="shared" si="3"/>
        <v>10</v>
      </c>
      <c r="F13" s="122">
        <v>95</v>
      </c>
      <c r="G13" s="170">
        <v>45</v>
      </c>
      <c r="H13" s="119">
        <f t="shared" si="1"/>
        <v>21.3</v>
      </c>
      <c r="I13" s="119">
        <f t="shared" si="2"/>
        <v>111.1</v>
      </c>
      <c r="J13" s="122">
        <v>85</v>
      </c>
    </row>
    <row r="14" spans="1:10" s="115" customFormat="1" ht="35.25" customHeight="1">
      <c r="A14" s="132" t="s">
        <v>204</v>
      </c>
      <c r="B14" s="45"/>
      <c r="C14" s="118"/>
      <c r="D14" s="45">
        <v>3670</v>
      </c>
      <c r="E14" s="118">
        <f t="shared" si="3"/>
        <v>81</v>
      </c>
      <c r="F14" s="122">
        <v>1234</v>
      </c>
      <c r="G14" s="170">
        <v>690</v>
      </c>
      <c r="H14" s="119">
        <f t="shared" si="1"/>
        <v>33.6</v>
      </c>
      <c r="I14" s="119">
        <f t="shared" si="2"/>
        <v>78.8</v>
      </c>
      <c r="J14" s="122">
        <v>1153</v>
      </c>
    </row>
    <row r="15" spans="1:10" s="115" customFormat="1" ht="35.25" customHeight="1">
      <c r="A15" s="124" t="s">
        <v>205</v>
      </c>
      <c r="B15" s="45"/>
      <c r="C15" s="118"/>
      <c r="D15" s="45">
        <v>84123</v>
      </c>
      <c r="E15" s="118">
        <f t="shared" si="3"/>
        <v>10058</v>
      </c>
      <c r="F15" s="122">
        <v>48787</v>
      </c>
      <c r="G15" s="170">
        <v>24927</v>
      </c>
      <c r="H15" s="119">
        <f t="shared" si="1"/>
        <v>58</v>
      </c>
      <c r="I15" s="119">
        <f t="shared" si="2"/>
        <v>95.7</v>
      </c>
      <c r="J15" s="122">
        <v>38729</v>
      </c>
    </row>
    <row r="16" spans="1:10" s="130" customFormat="1" ht="35.25" customHeight="1">
      <c r="A16" s="133" t="s">
        <v>206</v>
      </c>
      <c r="B16" s="126"/>
      <c r="C16" s="127"/>
      <c r="D16" s="126">
        <v>29806</v>
      </c>
      <c r="E16" s="127">
        <f t="shared" si="3"/>
        <v>77</v>
      </c>
      <c r="F16" s="128">
        <v>17836</v>
      </c>
      <c r="G16" s="171">
        <v>6501</v>
      </c>
      <c r="H16" s="119">
        <f t="shared" si="1"/>
        <v>59.8</v>
      </c>
      <c r="I16" s="119">
        <f t="shared" si="2"/>
        <v>174.4</v>
      </c>
      <c r="J16" s="128">
        <v>17759</v>
      </c>
    </row>
    <row r="17" spans="1:10" s="130" customFormat="1" ht="35.25" customHeight="1">
      <c r="A17" s="134" t="s">
        <v>207</v>
      </c>
      <c r="B17" s="126"/>
      <c r="C17" s="127"/>
      <c r="D17" s="126">
        <v>1733</v>
      </c>
      <c r="E17" s="127">
        <f t="shared" si="3"/>
        <v>0</v>
      </c>
      <c r="F17" s="128">
        <v>1733</v>
      </c>
      <c r="G17" s="171">
        <v>1000</v>
      </c>
      <c r="H17" s="119">
        <f t="shared" si="1"/>
        <v>100</v>
      </c>
      <c r="I17" s="119">
        <f t="shared" si="2"/>
        <v>73.3</v>
      </c>
      <c r="J17" s="128">
        <v>1733</v>
      </c>
    </row>
    <row r="18" spans="1:10" s="130" customFormat="1" ht="35.25" customHeight="1">
      <c r="A18" s="134" t="s">
        <v>208</v>
      </c>
      <c r="B18" s="126"/>
      <c r="C18" s="127"/>
      <c r="D18" s="126">
        <v>10535</v>
      </c>
      <c r="E18" s="127">
        <f t="shared" si="3"/>
        <v>722</v>
      </c>
      <c r="F18" s="128">
        <v>722</v>
      </c>
      <c r="G18" s="171">
        <v>2774</v>
      </c>
      <c r="H18" s="119">
        <f t="shared" si="1"/>
        <v>6.9</v>
      </c>
      <c r="I18" s="119">
        <f t="shared" si="2"/>
        <v>-74</v>
      </c>
      <c r="J18" s="128">
        <v>0</v>
      </c>
    </row>
    <row r="19" spans="1:10" s="130" customFormat="1" ht="35.25" customHeight="1">
      <c r="A19" s="172" t="s">
        <v>209</v>
      </c>
      <c r="B19" s="126"/>
      <c r="C19" s="127"/>
      <c r="D19" s="126">
        <v>23375</v>
      </c>
      <c r="E19" s="127">
        <f t="shared" si="3"/>
        <v>7000</v>
      </c>
      <c r="F19" s="128">
        <v>24767</v>
      </c>
      <c r="G19" s="171">
        <v>11401</v>
      </c>
      <c r="H19" s="119">
        <f t="shared" si="1"/>
        <v>106</v>
      </c>
      <c r="I19" s="119">
        <f t="shared" si="2"/>
        <v>117.2</v>
      </c>
      <c r="J19" s="128">
        <v>17767</v>
      </c>
    </row>
    <row r="20" spans="1:10" s="115" customFormat="1" ht="35.25" customHeight="1">
      <c r="A20" s="124" t="s">
        <v>210</v>
      </c>
      <c r="B20" s="45"/>
      <c r="C20" s="118"/>
      <c r="D20" s="45">
        <v>99070</v>
      </c>
      <c r="E20" s="118">
        <f t="shared" si="3"/>
        <v>2380</v>
      </c>
      <c r="F20" s="122">
        <v>39384</v>
      </c>
      <c r="G20" s="170">
        <v>37510</v>
      </c>
      <c r="H20" s="119">
        <f t="shared" si="1"/>
        <v>39.8</v>
      </c>
      <c r="I20" s="119">
        <f t="shared" si="2"/>
        <v>5</v>
      </c>
      <c r="J20" s="122">
        <v>37004</v>
      </c>
    </row>
    <row r="21" spans="1:10" s="130" customFormat="1" ht="33.75" customHeight="1">
      <c r="A21" s="136" t="s">
        <v>211</v>
      </c>
      <c r="B21" s="126"/>
      <c r="C21" s="127"/>
      <c r="D21" s="126">
        <v>9329</v>
      </c>
      <c r="E21" s="127">
        <f t="shared" si="3"/>
        <v>2141</v>
      </c>
      <c r="F21" s="128">
        <v>8055</v>
      </c>
      <c r="G21" s="171">
        <v>3119</v>
      </c>
      <c r="H21" s="119">
        <f t="shared" si="1"/>
        <v>86.3</v>
      </c>
      <c r="I21" s="119">
        <f t="shared" si="2"/>
        <v>158.3</v>
      </c>
      <c r="J21" s="128">
        <v>5914</v>
      </c>
    </row>
    <row r="22" spans="1:10" s="130" customFormat="1" ht="33.75" customHeight="1">
      <c r="A22" s="172" t="s">
        <v>212</v>
      </c>
      <c r="B22" s="126"/>
      <c r="C22" s="127"/>
      <c r="D22" s="126">
        <v>67316</v>
      </c>
      <c r="E22" s="127">
        <f t="shared" si="3"/>
        <v>0</v>
      </c>
      <c r="F22" s="128">
        <v>24524</v>
      </c>
      <c r="G22" s="171">
        <v>30656</v>
      </c>
      <c r="H22" s="119">
        <f t="shared" si="1"/>
        <v>36.4</v>
      </c>
      <c r="I22" s="119">
        <f t="shared" si="2"/>
        <v>-20</v>
      </c>
      <c r="J22" s="128">
        <v>24524</v>
      </c>
    </row>
    <row r="23" spans="1:10" s="115" customFormat="1" ht="33" customHeight="1">
      <c r="A23" s="124" t="s">
        <v>213</v>
      </c>
      <c r="B23" s="45"/>
      <c r="C23" s="118"/>
      <c r="D23" s="45">
        <v>4042</v>
      </c>
      <c r="E23" s="118">
        <f t="shared" si="3"/>
        <v>200</v>
      </c>
      <c r="F23" s="122">
        <v>996</v>
      </c>
      <c r="G23" s="170">
        <v>940</v>
      </c>
      <c r="H23" s="119">
        <f t="shared" si="1"/>
        <v>24.6</v>
      </c>
      <c r="I23" s="119">
        <f t="shared" si="2"/>
        <v>6</v>
      </c>
      <c r="J23" s="122">
        <v>796</v>
      </c>
    </row>
    <row r="24" spans="1:10" s="130" customFormat="1" ht="33" customHeight="1">
      <c r="A24" s="137" t="s">
        <v>214</v>
      </c>
      <c r="B24" s="126"/>
      <c r="C24" s="127"/>
      <c r="D24" s="126">
        <v>973</v>
      </c>
      <c r="E24" s="127">
        <f t="shared" si="3"/>
        <v>195</v>
      </c>
      <c r="F24" s="128">
        <v>517</v>
      </c>
      <c r="G24" s="171">
        <v>593</v>
      </c>
      <c r="H24" s="119">
        <f t="shared" si="1"/>
        <v>53.1</v>
      </c>
      <c r="I24" s="119">
        <f t="shared" si="2"/>
        <v>-12.8</v>
      </c>
      <c r="J24" s="128">
        <v>322</v>
      </c>
    </row>
    <row r="25" spans="1:10" s="130" customFormat="1" ht="33" customHeight="1">
      <c r="A25" s="137" t="s">
        <v>215</v>
      </c>
      <c r="B25" s="126"/>
      <c r="C25" s="127"/>
      <c r="D25" s="126"/>
      <c r="E25" s="127">
        <f t="shared" si="3"/>
        <v>0</v>
      </c>
      <c r="F25" s="128"/>
      <c r="G25" s="171"/>
      <c r="H25" s="119" t="e">
        <f t="shared" si="1"/>
        <v>#DIV/0!</v>
      </c>
      <c r="I25" s="119" t="e">
        <f t="shared" si="2"/>
        <v>#DIV/0!</v>
      </c>
      <c r="J25" s="128"/>
    </row>
    <row r="26" spans="1:10" s="115" customFormat="1" ht="33" customHeight="1">
      <c r="A26" s="124" t="s">
        <v>216</v>
      </c>
      <c r="B26" s="45"/>
      <c r="C26" s="118"/>
      <c r="D26" s="45">
        <v>9420</v>
      </c>
      <c r="E26" s="118">
        <f t="shared" si="3"/>
        <v>389</v>
      </c>
      <c r="F26" s="122">
        <v>8354</v>
      </c>
      <c r="G26" s="170">
        <v>18253</v>
      </c>
      <c r="H26" s="119">
        <f t="shared" si="1"/>
        <v>88.7</v>
      </c>
      <c r="I26" s="119">
        <f t="shared" si="2"/>
        <v>-54.2</v>
      </c>
      <c r="J26" s="122">
        <v>7965</v>
      </c>
    </row>
    <row r="27" spans="1:10" s="115" customFormat="1" ht="33" customHeight="1">
      <c r="A27" s="132" t="s">
        <v>217</v>
      </c>
      <c r="B27" s="45"/>
      <c r="C27" s="118"/>
      <c r="D27" s="45">
        <v>83474</v>
      </c>
      <c r="E27" s="118">
        <f t="shared" si="3"/>
        <v>3768</v>
      </c>
      <c r="F27" s="122">
        <v>9562</v>
      </c>
      <c r="G27" s="170">
        <v>16511</v>
      </c>
      <c r="H27" s="119">
        <f t="shared" si="1"/>
        <v>11.5</v>
      </c>
      <c r="I27" s="119">
        <f t="shared" si="2"/>
        <v>-42.1</v>
      </c>
      <c r="J27" s="122">
        <v>5794</v>
      </c>
    </row>
    <row r="28" spans="1:10" s="130" customFormat="1" ht="33" customHeight="1">
      <c r="A28" s="136" t="s">
        <v>218</v>
      </c>
      <c r="B28" s="126"/>
      <c r="C28" s="127"/>
      <c r="D28" s="126">
        <v>29812</v>
      </c>
      <c r="E28" s="127">
        <f t="shared" si="3"/>
        <v>251</v>
      </c>
      <c r="F28" s="128">
        <v>1132</v>
      </c>
      <c r="G28" s="171">
        <v>2798</v>
      </c>
      <c r="H28" s="119">
        <f t="shared" si="1"/>
        <v>3.8</v>
      </c>
      <c r="I28" s="119">
        <f t="shared" si="2"/>
        <v>-59.5</v>
      </c>
      <c r="J28" s="128">
        <v>881</v>
      </c>
    </row>
    <row r="29" spans="1:10" s="130" customFormat="1" ht="33" customHeight="1">
      <c r="A29" s="136" t="s">
        <v>219</v>
      </c>
      <c r="B29" s="126"/>
      <c r="C29" s="127"/>
      <c r="D29" s="126">
        <v>952</v>
      </c>
      <c r="E29" s="127">
        <f t="shared" si="3"/>
        <v>199</v>
      </c>
      <c r="F29" s="128">
        <v>2432</v>
      </c>
      <c r="G29" s="171">
        <v>163</v>
      </c>
      <c r="H29" s="119">
        <f t="shared" si="1"/>
        <v>255.5</v>
      </c>
      <c r="I29" s="119">
        <f t="shared" si="2"/>
        <v>1392</v>
      </c>
      <c r="J29" s="128">
        <v>2233</v>
      </c>
    </row>
    <row r="30" spans="1:10" s="130" customFormat="1" ht="33" customHeight="1">
      <c r="A30" s="136" t="s">
        <v>220</v>
      </c>
      <c r="B30" s="126"/>
      <c r="C30" s="127"/>
      <c r="D30" s="126">
        <v>7566</v>
      </c>
      <c r="E30" s="127">
        <f t="shared" si="3"/>
        <v>213</v>
      </c>
      <c r="F30" s="128">
        <v>844</v>
      </c>
      <c r="G30" s="171">
        <v>6965</v>
      </c>
      <c r="H30" s="119">
        <f t="shared" si="1"/>
        <v>11.2</v>
      </c>
      <c r="I30" s="119">
        <f t="shared" si="2"/>
        <v>-87.9</v>
      </c>
      <c r="J30" s="128">
        <v>631</v>
      </c>
    </row>
    <row r="31" spans="1:10" s="130" customFormat="1" ht="33" customHeight="1">
      <c r="A31" s="136" t="s">
        <v>221</v>
      </c>
      <c r="B31" s="126"/>
      <c r="C31" s="127"/>
      <c r="D31" s="126">
        <v>3031</v>
      </c>
      <c r="E31" s="127">
        <f t="shared" si="3"/>
        <v>93</v>
      </c>
      <c r="F31" s="128">
        <v>2055</v>
      </c>
      <c r="G31" s="171">
        <v>367</v>
      </c>
      <c r="H31" s="119">
        <f t="shared" si="1"/>
        <v>67.8</v>
      </c>
      <c r="I31" s="119">
        <f t="shared" si="2"/>
        <v>459.9</v>
      </c>
      <c r="J31" s="128">
        <v>1962</v>
      </c>
    </row>
    <row r="32" spans="1:10" s="130" customFormat="1" ht="33" customHeight="1">
      <c r="A32" s="136" t="s">
        <v>222</v>
      </c>
      <c r="B32" s="126"/>
      <c r="C32" s="127"/>
      <c r="D32" s="126">
        <v>305</v>
      </c>
      <c r="E32" s="127">
        <f t="shared" si="3"/>
        <v>8</v>
      </c>
      <c r="F32" s="128">
        <v>74</v>
      </c>
      <c r="G32" s="171">
        <v>3278</v>
      </c>
      <c r="H32" s="119">
        <f t="shared" si="1"/>
        <v>24.3</v>
      </c>
      <c r="I32" s="119">
        <f t="shared" si="2"/>
        <v>-97.7</v>
      </c>
      <c r="J32" s="128">
        <v>66</v>
      </c>
    </row>
    <row r="33" spans="1:10" s="130" customFormat="1" ht="33" customHeight="1">
      <c r="A33" s="136" t="s">
        <v>223</v>
      </c>
      <c r="B33" s="126"/>
      <c r="C33" s="127"/>
      <c r="D33" s="126">
        <v>16115</v>
      </c>
      <c r="E33" s="127">
        <f t="shared" si="3"/>
        <v>0</v>
      </c>
      <c r="F33" s="128">
        <v>0</v>
      </c>
      <c r="G33" s="171">
        <v>2654</v>
      </c>
      <c r="H33" s="119">
        <f t="shared" si="1"/>
        <v>0</v>
      </c>
      <c r="I33" s="119">
        <f t="shared" si="2"/>
        <v>-100</v>
      </c>
      <c r="J33" s="128">
        <v>0</v>
      </c>
    </row>
    <row r="34" spans="1:10" s="115" customFormat="1" ht="33" customHeight="1">
      <c r="A34" s="132" t="s">
        <v>224</v>
      </c>
      <c r="B34" s="45"/>
      <c r="C34" s="118"/>
      <c r="D34" s="45">
        <v>9483</v>
      </c>
      <c r="E34" s="118">
        <f t="shared" si="3"/>
        <v>5142</v>
      </c>
      <c r="F34" s="139">
        <v>9649</v>
      </c>
      <c r="G34" s="170">
        <v>3450</v>
      </c>
      <c r="H34" s="119">
        <f t="shared" si="1"/>
        <v>101.8</v>
      </c>
      <c r="I34" s="119">
        <f t="shared" si="2"/>
        <v>179.7</v>
      </c>
      <c r="J34" s="139">
        <v>4507</v>
      </c>
    </row>
    <row r="35" spans="1:10" s="115" customFormat="1" ht="33" customHeight="1">
      <c r="A35" s="43" t="s">
        <v>225</v>
      </c>
      <c r="B35" s="45"/>
      <c r="C35" s="118"/>
      <c r="D35" s="45">
        <v>6825</v>
      </c>
      <c r="E35" s="118">
        <f t="shared" si="3"/>
        <v>37</v>
      </c>
      <c r="F35" s="139">
        <v>275</v>
      </c>
      <c r="G35" s="170">
        <v>147</v>
      </c>
      <c r="H35" s="119">
        <f t="shared" si="1"/>
        <v>4</v>
      </c>
      <c r="I35" s="119">
        <f t="shared" si="2"/>
        <v>87.1</v>
      </c>
      <c r="J35" s="139">
        <v>238</v>
      </c>
    </row>
    <row r="36" spans="1:10" s="115" customFormat="1" ht="33" customHeight="1">
      <c r="A36" s="43" t="s">
        <v>226</v>
      </c>
      <c r="B36" s="45"/>
      <c r="C36" s="118"/>
      <c r="D36" s="45">
        <v>673</v>
      </c>
      <c r="E36" s="118">
        <f t="shared" si="3"/>
        <v>34</v>
      </c>
      <c r="F36" s="139">
        <v>482</v>
      </c>
      <c r="G36" s="170">
        <v>474</v>
      </c>
      <c r="H36" s="119">
        <f t="shared" si="1"/>
        <v>71.6</v>
      </c>
      <c r="I36" s="119">
        <f t="shared" si="2"/>
        <v>1.7</v>
      </c>
      <c r="J36" s="139">
        <v>448</v>
      </c>
    </row>
    <row r="37" spans="1:10" s="115" customFormat="1" ht="33" customHeight="1">
      <c r="A37" s="43" t="s">
        <v>227</v>
      </c>
      <c r="B37" s="45"/>
      <c r="C37" s="118"/>
      <c r="D37" s="45">
        <v>49</v>
      </c>
      <c r="E37" s="118">
        <f t="shared" si="3"/>
        <v>201</v>
      </c>
      <c r="F37" s="140">
        <v>207</v>
      </c>
      <c r="G37" s="173">
        <v>2097</v>
      </c>
      <c r="H37" s="119">
        <f t="shared" si="1"/>
        <v>422.4</v>
      </c>
      <c r="I37" s="119">
        <f t="shared" si="2"/>
        <v>-90.1</v>
      </c>
      <c r="J37" s="140">
        <v>6</v>
      </c>
    </row>
    <row r="38" spans="1:10" s="115" customFormat="1" ht="33" customHeight="1">
      <c r="A38" s="43" t="s">
        <v>228</v>
      </c>
      <c r="B38" s="45"/>
      <c r="C38" s="118"/>
      <c r="D38" s="45">
        <v>3774</v>
      </c>
      <c r="E38" s="118">
        <f t="shared" si="3"/>
        <v>225</v>
      </c>
      <c r="F38" s="139">
        <v>1036</v>
      </c>
      <c r="G38" s="170">
        <v>123</v>
      </c>
      <c r="H38" s="119">
        <f t="shared" si="1"/>
        <v>27.5</v>
      </c>
      <c r="I38" s="119">
        <f t="shared" si="2"/>
        <v>742.3</v>
      </c>
      <c r="J38" s="139">
        <v>811</v>
      </c>
    </row>
    <row r="39" spans="1:10" s="115" customFormat="1" ht="33" customHeight="1">
      <c r="A39" s="132" t="s">
        <v>229</v>
      </c>
      <c r="B39" s="45"/>
      <c r="C39" s="118"/>
      <c r="D39" s="45">
        <v>7304</v>
      </c>
      <c r="E39" s="118">
        <f t="shared" si="3"/>
        <v>68</v>
      </c>
      <c r="F39" s="139">
        <v>669</v>
      </c>
      <c r="G39" s="170">
        <v>6215</v>
      </c>
      <c r="H39" s="119">
        <f t="shared" si="1"/>
        <v>9.2</v>
      </c>
      <c r="I39" s="119">
        <f t="shared" si="2"/>
        <v>-89.2</v>
      </c>
      <c r="J39" s="139">
        <v>601</v>
      </c>
    </row>
    <row r="40" spans="1:10" s="141" customFormat="1" ht="33" customHeight="1">
      <c r="A40" s="43" t="s">
        <v>230</v>
      </c>
      <c r="B40" s="45"/>
      <c r="C40" s="118"/>
      <c r="D40" s="45">
        <v>2442</v>
      </c>
      <c r="E40" s="118">
        <f t="shared" si="3"/>
        <v>21</v>
      </c>
      <c r="F40" s="139">
        <v>98</v>
      </c>
      <c r="G40" s="170">
        <v>45</v>
      </c>
      <c r="H40" s="119">
        <f t="shared" si="1"/>
        <v>4</v>
      </c>
      <c r="I40" s="119">
        <f t="shared" si="2"/>
        <v>117.8</v>
      </c>
      <c r="J40" s="139">
        <v>77</v>
      </c>
    </row>
    <row r="41" spans="1:10" s="141" customFormat="1" ht="33" customHeight="1">
      <c r="A41" s="43" t="s">
        <v>231</v>
      </c>
      <c r="B41" s="45"/>
      <c r="C41" s="118"/>
      <c r="D41" s="45">
        <v>10257</v>
      </c>
      <c r="E41" s="118">
        <f t="shared" si="3"/>
        <v>100</v>
      </c>
      <c r="F41" s="139">
        <v>1035</v>
      </c>
      <c r="G41" s="170">
        <v>198</v>
      </c>
      <c r="H41" s="119">
        <f t="shared" si="1"/>
        <v>10.1</v>
      </c>
      <c r="I41" s="119">
        <f t="shared" si="2"/>
        <v>422.7</v>
      </c>
      <c r="J41" s="139">
        <v>935</v>
      </c>
    </row>
  </sheetData>
  <sheetProtection formatCells="0" formatColumns="0" formatRows="0" insertColumns="0" insertRows="0"/>
  <autoFilter ref="A5:I41"/>
  <mergeCells count="11">
    <mergeCell ref="F3:F4"/>
    <mergeCell ref="G3:G4"/>
    <mergeCell ref="H3:I3"/>
    <mergeCell ref="J3:J4"/>
    <mergeCell ref="A1:I1"/>
    <mergeCell ref="H2:I2"/>
    <mergeCell ref="A3:A4"/>
    <mergeCell ref="B3:B4"/>
    <mergeCell ref="C3:C4"/>
    <mergeCell ref="D3:D4"/>
    <mergeCell ref="E3:E4"/>
  </mergeCells>
  <printOptions horizontalCentered="1"/>
  <pageMargins left="0.5511811023622047" right="0.34" top="0.81" bottom="0.7" header="0.1968503937007874" footer="0.5"/>
  <pageSetup blackAndWhite="1" errors="blank" horizontalDpi="600" verticalDpi="600" orientation="portrait" paperSize="13" scale="82" r:id="rId1"/>
  <headerFooter alignWithMargins="0">
    <oddFooter xml:space="preserve">&amp;C&amp;11·&amp;12  &amp;P  &amp;11·&amp;12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showZeros="0" view="pageBreakPreview" zoomScaleSheetLayoutView="100" workbookViewId="0" topLeftCell="A1">
      <pane xSplit="1" ySplit="4" topLeftCell="C5" activePane="bottomRight" state="frozen"/>
      <selection pane="topLeft" activeCell="P8" sqref="P8"/>
      <selection pane="topRight" activeCell="P8" sqref="P8"/>
      <selection pane="bottomLeft" activeCell="P8" sqref="P8"/>
      <selection pane="bottomRight" activeCell="N1" sqref="N1:U16384"/>
    </sheetView>
  </sheetViews>
  <sheetFormatPr defaultColWidth="9.00390625" defaultRowHeight="23.25" customHeight="1"/>
  <cols>
    <col min="1" max="1" width="11.25390625" style="150" customWidth="1"/>
    <col min="2" max="2" width="7.75390625" style="150" hidden="1" customWidth="1"/>
    <col min="3" max="3" width="7.75390625" style="150" customWidth="1"/>
    <col min="4" max="4" width="7.75390625" style="150" hidden="1" customWidth="1"/>
    <col min="5" max="5" width="7.75390625" style="150" customWidth="1"/>
    <col min="6" max="6" width="7.75390625" style="153" customWidth="1"/>
    <col min="7" max="7" width="7.75390625" style="201" customWidth="1"/>
    <col min="8" max="8" width="7.75390625" style="150" customWidth="1"/>
    <col min="9" max="9" width="7.75390625" style="202" customWidth="1"/>
    <col min="10" max="10" width="7.75390625" style="152" customWidth="1"/>
    <col min="11" max="11" width="1.00390625" style="152" hidden="1" customWidth="1"/>
    <col min="12" max="12" width="7.25390625" style="152" customWidth="1"/>
    <col min="13" max="13" width="7.375" style="152" customWidth="1"/>
    <col min="14" max="21" width="0" style="150" hidden="1" customWidth="1"/>
    <col min="22" max="16384" width="9.00390625" style="150" customWidth="1"/>
  </cols>
  <sheetData>
    <row r="1" spans="1:13" s="174" customFormat="1" ht="39" customHeight="1">
      <c r="A1" s="395" t="str">
        <f>"2017年"&amp;'[1]数据分析表'!J1&amp;"月邓州市一般公共预算收入分级完成情况表"</f>
        <v>2017年4月邓州市一般公共预算收入分级完成情况表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s="141" customFormat="1" ht="29.25" customHeight="1">
      <c r="A2" s="149" t="s">
        <v>67</v>
      </c>
      <c r="B2" s="149"/>
      <c r="F2" s="148"/>
      <c r="G2" s="175"/>
      <c r="J2" s="412" t="s">
        <v>1</v>
      </c>
      <c r="K2" s="412"/>
      <c r="L2" s="412"/>
      <c r="M2" s="412"/>
    </row>
    <row r="3" spans="1:14" s="115" customFormat="1" ht="28.5" customHeight="1">
      <c r="A3" s="413" t="s">
        <v>68</v>
      </c>
      <c r="B3" s="424" t="s">
        <v>3</v>
      </c>
      <c r="C3" s="414" t="s">
        <v>3</v>
      </c>
      <c r="D3" s="415"/>
      <c r="E3" s="416"/>
      <c r="F3" s="417" t="s">
        <v>55</v>
      </c>
      <c r="G3" s="419" t="s">
        <v>69</v>
      </c>
      <c r="H3" s="420"/>
      <c r="I3" s="397" t="s">
        <v>6</v>
      </c>
      <c r="J3" s="421" t="s">
        <v>7</v>
      </c>
      <c r="K3" s="422"/>
      <c r="L3" s="422"/>
      <c r="M3" s="423"/>
      <c r="N3" s="411" t="s">
        <v>70</v>
      </c>
    </row>
    <row r="4" spans="1:15" s="115" customFormat="1" ht="53.25" customHeight="1">
      <c r="A4" s="413"/>
      <c r="B4" s="425"/>
      <c r="C4" s="177"/>
      <c r="D4" s="177"/>
      <c r="E4" s="113" t="s">
        <v>71</v>
      </c>
      <c r="F4" s="418"/>
      <c r="G4" s="178"/>
      <c r="H4" s="113" t="s">
        <v>72</v>
      </c>
      <c r="I4" s="413"/>
      <c r="J4" s="15" t="s">
        <v>12</v>
      </c>
      <c r="K4" s="179" t="s">
        <v>232</v>
      </c>
      <c r="L4" s="114" t="s">
        <v>233</v>
      </c>
      <c r="M4" s="114" t="s">
        <v>73</v>
      </c>
      <c r="N4" s="411"/>
      <c r="O4" s="115" t="s">
        <v>74</v>
      </c>
    </row>
    <row r="5" spans="1:13" s="115" customFormat="1" ht="42.75" customHeight="1">
      <c r="A5" s="38" t="s">
        <v>75</v>
      </c>
      <c r="B5" s="38">
        <v>139200</v>
      </c>
      <c r="C5" s="180">
        <f>'全市收'!C6</f>
        <v>137800</v>
      </c>
      <c r="D5" s="181"/>
      <c r="E5" s="180">
        <f>'全市收'!C7</f>
        <v>93700</v>
      </c>
      <c r="F5" s="182">
        <f>'全市收'!D6</f>
        <v>9428</v>
      </c>
      <c r="G5" s="180">
        <f>'全市收'!E6</f>
        <v>49147</v>
      </c>
      <c r="H5" s="180">
        <f>'全市收'!E7</f>
        <v>31072</v>
      </c>
      <c r="I5" s="180">
        <f>'全市收'!F6</f>
        <v>44796</v>
      </c>
      <c r="J5" s="183">
        <f aca="true" t="shared" si="0" ref="J5:J37">G5/C5*100</f>
        <v>35.66545718432511</v>
      </c>
      <c r="K5" s="184"/>
      <c r="L5" s="183">
        <f aca="true" t="shared" si="1" ref="L5:L37">H5/E5*100</f>
        <v>33.161152614727854</v>
      </c>
      <c r="M5" s="185">
        <f aca="true" t="shared" si="2" ref="M5:M37">(G5-I5)/I5*100</f>
        <v>9.712920796499686</v>
      </c>
    </row>
    <row r="6" spans="1:13" s="115" customFormat="1" ht="38.25" customHeight="1">
      <c r="A6" s="38" t="s">
        <v>15</v>
      </c>
      <c r="B6" s="38">
        <v>109901</v>
      </c>
      <c r="C6" s="180">
        <f>'市级收'!C5</f>
        <v>104211</v>
      </c>
      <c r="D6" s="180">
        <f>'市级收'!B5</f>
        <v>109901</v>
      </c>
      <c r="E6" s="180">
        <f>'市级收'!C6</f>
        <v>60111</v>
      </c>
      <c r="F6" s="180">
        <f>'市级收'!D5</f>
        <v>6786</v>
      </c>
      <c r="G6" s="180">
        <f>'市级收'!E5</f>
        <v>37479</v>
      </c>
      <c r="H6" s="180">
        <f>'市级收'!E6</f>
        <v>19807</v>
      </c>
      <c r="I6" s="180">
        <f>'市级收'!F5</f>
        <v>35275</v>
      </c>
      <c r="J6" s="183">
        <f t="shared" si="0"/>
        <v>35.96453349454472</v>
      </c>
      <c r="K6" s="184"/>
      <c r="L6" s="183">
        <f t="shared" si="1"/>
        <v>32.95070785713097</v>
      </c>
      <c r="M6" s="185">
        <f t="shared" si="2"/>
        <v>6.2480510276399714</v>
      </c>
    </row>
    <row r="7" spans="1:18" s="115" customFormat="1" ht="35.25" customHeight="1">
      <c r="A7" s="38" t="s">
        <v>76</v>
      </c>
      <c r="B7" s="186">
        <f>SUM(B10:B37)</f>
        <v>29299</v>
      </c>
      <c r="C7" s="186">
        <f aca="true" t="shared" si="3" ref="C7:I7">SUM(C8:C37)</f>
        <v>33589</v>
      </c>
      <c r="D7" s="186">
        <f t="shared" si="3"/>
        <v>0</v>
      </c>
      <c r="E7" s="186">
        <f t="shared" si="3"/>
        <v>33589</v>
      </c>
      <c r="F7" s="186">
        <f t="shared" si="3"/>
        <v>2543.5833707640863</v>
      </c>
      <c r="G7" s="186">
        <f t="shared" si="3"/>
        <v>11569.583370764087</v>
      </c>
      <c r="H7" s="186">
        <f t="shared" si="3"/>
        <v>11166.583370764087</v>
      </c>
      <c r="I7" s="186">
        <f t="shared" si="3"/>
        <v>9521</v>
      </c>
      <c r="J7" s="183">
        <f t="shared" si="0"/>
        <v>34.44456033452644</v>
      </c>
      <c r="K7" s="184"/>
      <c r="L7" s="183">
        <f t="shared" si="1"/>
        <v>33.244762781756194</v>
      </c>
      <c r="M7" s="185">
        <f t="shared" si="2"/>
        <v>21.516472752484894</v>
      </c>
      <c r="N7" s="180">
        <v>9026</v>
      </c>
      <c r="O7" s="187">
        <f>SUM(O8:O37)</f>
        <v>403</v>
      </c>
      <c r="R7" s="188">
        <f>G7-I7</f>
        <v>2048.583370764087</v>
      </c>
    </row>
    <row r="8" spans="1:18" s="115" customFormat="1" ht="35.25" customHeight="1">
      <c r="A8" s="38" t="s">
        <v>234</v>
      </c>
      <c r="B8" s="186"/>
      <c r="C8" s="189">
        <v>11442</v>
      </c>
      <c r="D8" s="189"/>
      <c r="E8" s="189">
        <v>11442</v>
      </c>
      <c r="F8" s="189">
        <f aca="true" t="shared" si="4" ref="F8:F37">G8-N8</f>
        <v>1289</v>
      </c>
      <c r="G8" s="190">
        <v>5658</v>
      </c>
      <c r="H8" s="191">
        <f aca="true" t="shared" si="5" ref="H8:H37">G8-O8</f>
        <v>5628</v>
      </c>
      <c r="I8" s="190">
        <v>3138</v>
      </c>
      <c r="J8" s="192">
        <f t="shared" si="0"/>
        <v>49.44939695857368</v>
      </c>
      <c r="K8" s="184"/>
      <c r="L8" s="192">
        <f t="shared" si="1"/>
        <v>49.187205034084954</v>
      </c>
      <c r="M8" s="193">
        <f t="shared" si="2"/>
        <v>80.30592734225621</v>
      </c>
      <c r="N8" s="180">
        <v>4369</v>
      </c>
      <c r="O8" s="194">
        <v>30</v>
      </c>
      <c r="R8" s="188"/>
    </row>
    <row r="9" spans="1:18" s="115" customFormat="1" ht="35.25" customHeight="1">
      <c r="A9" s="38" t="s">
        <v>235</v>
      </c>
      <c r="B9" s="186"/>
      <c r="C9" s="189">
        <v>2154</v>
      </c>
      <c r="D9" s="189"/>
      <c r="E9" s="189">
        <v>2154</v>
      </c>
      <c r="F9" s="189">
        <f t="shared" si="4"/>
        <v>-49.41662923591356</v>
      </c>
      <c r="G9" s="190">
        <f>E9/E6*100</f>
        <v>3.5833707640864403</v>
      </c>
      <c r="H9" s="191">
        <f t="shared" si="5"/>
        <v>1.5833707640864403</v>
      </c>
      <c r="I9" s="190"/>
      <c r="J9" s="192">
        <f t="shared" si="0"/>
        <v>0.16635890269667783</v>
      </c>
      <c r="K9" s="184"/>
      <c r="L9" s="192">
        <f t="shared" si="1"/>
        <v>0.07350839201886909</v>
      </c>
      <c r="M9" s="193" t="e">
        <f t="shared" si="2"/>
        <v>#DIV/0!</v>
      </c>
      <c r="N9" s="180">
        <v>53</v>
      </c>
      <c r="O9" s="194">
        <v>2</v>
      </c>
      <c r="R9" s="188"/>
    </row>
    <row r="10" spans="1:18" s="115" customFormat="1" ht="35.25" customHeight="1">
      <c r="A10" s="38" t="s">
        <v>77</v>
      </c>
      <c r="B10" s="38">
        <v>2022</v>
      </c>
      <c r="C10" s="191">
        <v>1605</v>
      </c>
      <c r="D10" s="191"/>
      <c r="E10" s="191">
        <v>1605</v>
      </c>
      <c r="F10" s="189">
        <f t="shared" si="4"/>
        <v>246</v>
      </c>
      <c r="G10" s="191">
        <v>1026</v>
      </c>
      <c r="H10" s="191">
        <f t="shared" si="5"/>
        <v>999</v>
      </c>
      <c r="I10" s="181">
        <v>407</v>
      </c>
      <c r="J10" s="192">
        <f t="shared" si="0"/>
        <v>63.925233644859816</v>
      </c>
      <c r="K10" s="195"/>
      <c r="L10" s="192">
        <f t="shared" si="1"/>
        <v>62.24299065420561</v>
      </c>
      <c r="M10" s="193">
        <f t="shared" si="2"/>
        <v>152.0884520884521</v>
      </c>
      <c r="N10" s="191">
        <v>780</v>
      </c>
      <c r="O10" s="196">
        <v>27</v>
      </c>
      <c r="P10" s="188">
        <f aca="true" t="shared" si="6" ref="P10:P37">RANK(J10,$J$10:$J$37)</f>
        <v>3</v>
      </c>
      <c r="Q10" s="188"/>
      <c r="R10" s="188"/>
    </row>
    <row r="11" spans="1:18" s="115" customFormat="1" ht="35.25" customHeight="1">
      <c r="A11" s="38" t="s">
        <v>78</v>
      </c>
      <c r="B11" s="38">
        <v>1824</v>
      </c>
      <c r="C11" s="191">
        <v>1552</v>
      </c>
      <c r="D11" s="191"/>
      <c r="E11" s="191">
        <v>1552</v>
      </c>
      <c r="F11" s="189">
        <f t="shared" si="4"/>
        <v>202</v>
      </c>
      <c r="G11" s="191">
        <v>816</v>
      </c>
      <c r="H11" s="191">
        <f t="shared" si="5"/>
        <v>808</v>
      </c>
      <c r="I11" s="181">
        <v>447</v>
      </c>
      <c r="J11" s="192">
        <f t="shared" si="0"/>
        <v>52.57731958762887</v>
      </c>
      <c r="K11" s="195"/>
      <c r="L11" s="192">
        <f t="shared" si="1"/>
        <v>52.0618556701031</v>
      </c>
      <c r="M11" s="193">
        <f t="shared" si="2"/>
        <v>82.5503355704698</v>
      </c>
      <c r="N11" s="191">
        <v>614</v>
      </c>
      <c r="O11" s="196">
        <v>8</v>
      </c>
      <c r="P11" s="188">
        <f t="shared" si="6"/>
        <v>4</v>
      </c>
      <c r="Q11" s="188"/>
      <c r="R11" s="188"/>
    </row>
    <row r="12" spans="1:18" s="115" customFormat="1" ht="35.25" customHeight="1">
      <c r="A12" s="38" t="s">
        <v>79</v>
      </c>
      <c r="B12" s="38">
        <v>2938</v>
      </c>
      <c r="C12" s="191">
        <v>800</v>
      </c>
      <c r="D12" s="191"/>
      <c r="E12" s="191">
        <v>800</v>
      </c>
      <c r="F12" s="189">
        <f t="shared" si="4"/>
        <v>222</v>
      </c>
      <c r="G12" s="191">
        <v>778</v>
      </c>
      <c r="H12" s="191">
        <f t="shared" si="5"/>
        <v>731</v>
      </c>
      <c r="I12" s="181">
        <v>513</v>
      </c>
      <c r="J12" s="192">
        <f t="shared" si="0"/>
        <v>97.25</v>
      </c>
      <c r="K12" s="195"/>
      <c r="L12" s="192">
        <f t="shared" si="1"/>
        <v>91.375</v>
      </c>
      <c r="M12" s="193">
        <f t="shared" si="2"/>
        <v>51.656920077972714</v>
      </c>
      <c r="N12" s="191">
        <v>556</v>
      </c>
      <c r="O12" s="196">
        <v>47</v>
      </c>
      <c r="P12" s="188">
        <f t="shared" si="6"/>
        <v>1</v>
      </c>
      <c r="Q12" s="188"/>
      <c r="R12" s="188"/>
    </row>
    <row r="13" spans="1:18" s="115" customFormat="1" ht="35.25" customHeight="1">
      <c r="A13" s="38" t="s">
        <v>80</v>
      </c>
      <c r="B13" s="38">
        <v>418</v>
      </c>
      <c r="C13" s="191">
        <v>679</v>
      </c>
      <c r="D13" s="191"/>
      <c r="E13" s="191">
        <v>679</v>
      </c>
      <c r="F13" s="189">
        <f t="shared" si="4"/>
        <v>6</v>
      </c>
      <c r="G13" s="191">
        <v>57</v>
      </c>
      <c r="H13" s="191">
        <f t="shared" si="5"/>
        <v>57</v>
      </c>
      <c r="I13" s="181">
        <v>178</v>
      </c>
      <c r="J13" s="192">
        <f t="shared" si="0"/>
        <v>8.394698085419734</v>
      </c>
      <c r="K13" s="195"/>
      <c r="L13" s="192">
        <f t="shared" si="1"/>
        <v>8.394698085419734</v>
      </c>
      <c r="M13" s="193">
        <f t="shared" si="2"/>
        <v>-67.97752808988764</v>
      </c>
      <c r="N13" s="191">
        <v>51</v>
      </c>
      <c r="O13" s="196"/>
      <c r="P13" s="188">
        <f t="shared" si="6"/>
        <v>25</v>
      </c>
      <c r="Q13" s="188"/>
      <c r="R13" s="188"/>
    </row>
    <row r="14" spans="1:18" s="115" customFormat="1" ht="35.25" customHeight="1">
      <c r="A14" s="38" t="s">
        <v>81</v>
      </c>
      <c r="B14" s="38">
        <v>929</v>
      </c>
      <c r="C14" s="191">
        <v>611</v>
      </c>
      <c r="D14" s="191"/>
      <c r="E14" s="191">
        <v>611</v>
      </c>
      <c r="F14" s="189">
        <f t="shared" si="4"/>
        <v>24</v>
      </c>
      <c r="G14" s="191">
        <v>192</v>
      </c>
      <c r="H14" s="191">
        <f t="shared" si="5"/>
        <v>189</v>
      </c>
      <c r="I14" s="181">
        <v>229</v>
      </c>
      <c r="J14" s="192">
        <f t="shared" si="0"/>
        <v>31.42389525368249</v>
      </c>
      <c r="K14" s="195"/>
      <c r="L14" s="192">
        <f t="shared" si="1"/>
        <v>30.9328968903437</v>
      </c>
      <c r="M14" s="193">
        <f t="shared" si="2"/>
        <v>-16.157205240174672</v>
      </c>
      <c r="N14" s="191">
        <v>168</v>
      </c>
      <c r="O14" s="196">
        <v>3</v>
      </c>
      <c r="P14" s="188">
        <f t="shared" si="6"/>
        <v>7</v>
      </c>
      <c r="Q14" s="188"/>
      <c r="R14" s="188"/>
    </row>
    <row r="15" spans="1:18" s="115" customFormat="1" ht="35.25" customHeight="1">
      <c r="A15" s="38" t="s">
        <v>82</v>
      </c>
      <c r="B15" s="38">
        <v>778</v>
      </c>
      <c r="C15" s="191">
        <v>506</v>
      </c>
      <c r="D15" s="191"/>
      <c r="E15" s="191">
        <v>506</v>
      </c>
      <c r="F15" s="189">
        <f t="shared" si="4"/>
        <v>10</v>
      </c>
      <c r="G15" s="191">
        <v>62</v>
      </c>
      <c r="H15" s="191">
        <f t="shared" si="5"/>
        <v>62</v>
      </c>
      <c r="I15" s="181">
        <v>122</v>
      </c>
      <c r="J15" s="192">
        <f t="shared" si="0"/>
        <v>12.25296442687747</v>
      </c>
      <c r="K15" s="195"/>
      <c r="L15" s="192">
        <f t="shared" si="1"/>
        <v>12.25296442687747</v>
      </c>
      <c r="M15" s="193">
        <f t="shared" si="2"/>
        <v>-49.18032786885246</v>
      </c>
      <c r="N15" s="191">
        <v>52</v>
      </c>
      <c r="O15" s="196"/>
      <c r="P15" s="188">
        <f t="shared" si="6"/>
        <v>19</v>
      </c>
      <c r="Q15" s="188"/>
      <c r="R15" s="188"/>
    </row>
    <row r="16" spans="1:18" s="115" customFormat="1" ht="35.25" customHeight="1">
      <c r="A16" s="38" t="s">
        <v>83</v>
      </c>
      <c r="B16" s="38">
        <v>989</v>
      </c>
      <c r="C16" s="191">
        <v>853</v>
      </c>
      <c r="D16" s="191"/>
      <c r="E16" s="191">
        <v>853</v>
      </c>
      <c r="F16" s="197">
        <f t="shared" si="4"/>
        <v>22</v>
      </c>
      <c r="G16" s="198">
        <v>79</v>
      </c>
      <c r="H16" s="191">
        <f t="shared" si="5"/>
        <v>75</v>
      </c>
      <c r="I16" s="181">
        <v>236</v>
      </c>
      <c r="J16" s="192">
        <f t="shared" si="0"/>
        <v>9.261430246189919</v>
      </c>
      <c r="K16" s="195"/>
      <c r="L16" s="192">
        <f t="shared" si="1"/>
        <v>8.792497069167643</v>
      </c>
      <c r="M16" s="193">
        <f t="shared" si="2"/>
        <v>-66.52542372881356</v>
      </c>
      <c r="N16" s="191">
        <v>57</v>
      </c>
      <c r="O16" s="196">
        <v>4</v>
      </c>
      <c r="P16" s="188">
        <f t="shared" si="6"/>
        <v>24</v>
      </c>
      <c r="Q16" s="188"/>
      <c r="R16" s="188"/>
    </row>
    <row r="17" spans="1:18" s="115" customFormat="1" ht="35.25" customHeight="1">
      <c r="A17" s="38" t="s">
        <v>84</v>
      </c>
      <c r="B17" s="38">
        <v>806</v>
      </c>
      <c r="C17" s="191">
        <v>557</v>
      </c>
      <c r="D17" s="191"/>
      <c r="E17" s="191">
        <v>557</v>
      </c>
      <c r="F17" s="189">
        <f t="shared" si="4"/>
        <v>6</v>
      </c>
      <c r="G17" s="191">
        <v>122</v>
      </c>
      <c r="H17" s="191">
        <f t="shared" si="5"/>
        <v>121</v>
      </c>
      <c r="I17" s="181">
        <v>227</v>
      </c>
      <c r="J17" s="192">
        <f t="shared" si="0"/>
        <v>21.903052064631957</v>
      </c>
      <c r="K17" s="195"/>
      <c r="L17" s="192">
        <f t="shared" si="1"/>
        <v>21.723518850987432</v>
      </c>
      <c r="M17" s="193">
        <f t="shared" si="2"/>
        <v>-46.25550660792951</v>
      </c>
      <c r="N17" s="191">
        <v>116</v>
      </c>
      <c r="O17" s="196">
        <v>1</v>
      </c>
      <c r="P17" s="188">
        <f t="shared" si="6"/>
        <v>12</v>
      </c>
      <c r="Q17" s="188"/>
      <c r="R17" s="188"/>
    </row>
    <row r="18" spans="1:18" s="115" customFormat="1" ht="35.25" customHeight="1">
      <c r="A18" s="38" t="s">
        <v>85</v>
      </c>
      <c r="B18" s="38">
        <v>1331</v>
      </c>
      <c r="C18" s="191">
        <v>765</v>
      </c>
      <c r="D18" s="191"/>
      <c r="E18" s="191">
        <v>765</v>
      </c>
      <c r="F18" s="189">
        <f t="shared" si="4"/>
        <v>61</v>
      </c>
      <c r="G18" s="191">
        <v>540</v>
      </c>
      <c r="H18" s="191">
        <f t="shared" si="5"/>
        <v>481</v>
      </c>
      <c r="I18" s="181">
        <v>346</v>
      </c>
      <c r="J18" s="192">
        <f t="shared" si="0"/>
        <v>70.58823529411765</v>
      </c>
      <c r="K18" s="195"/>
      <c r="L18" s="192">
        <f t="shared" si="1"/>
        <v>62.87581699346405</v>
      </c>
      <c r="M18" s="193">
        <f t="shared" si="2"/>
        <v>56.06936416184971</v>
      </c>
      <c r="N18" s="191">
        <v>479</v>
      </c>
      <c r="O18" s="196">
        <v>59</v>
      </c>
      <c r="P18" s="188">
        <f t="shared" si="6"/>
        <v>2</v>
      </c>
      <c r="Q18" s="188"/>
      <c r="R18" s="188"/>
    </row>
    <row r="19" spans="1:18" s="115" customFormat="1" ht="35.25" customHeight="1">
      <c r="A19" s="38" t="s">
        <v>86</v>
      </c>
      <c r="B19" s="38">
        <v>1188</v>
      </c>
      <c r="C19" s="191">
        <v>769</v>
      </c>
      <c r="D19" s="191"/>
      <c r="E19" s="191">
        <v>769</v>
      </c>
      <c r="F19" s="189">
        <f t="shared" si="4"/>
        <v>8</v>
      </c>
      <c r="G19" s="191">
        <v>153</v>
      </c>
      <c r="H19" s="191">
        <f t="shared" si="5"/>
        <v>153</v>
      </c>
      <c r="I19" s="181">
        <v>350</v>
      </c>
      <c r="J19" s="192">
        <f t="shared" si="0"/>
        <v>19.89596879063719</v>
      </c>
      <c r="K19" s="195"/>
      <c r="L19" s="192">
        <f t="shared" si="1"/>
        <v>19.89596879063719</v>
      </c>
      <c r="M19" s="193">
        <f t="shared" si="2"/>
        <v>-56.285714285714285</v>
      </c>
      <c r="N19" s="191">
        <v>145</v>
      </c>
      <c r="O19" s="196"/>
      <c r="P19" s="188">
        <f t="shared" si="6"/>
        <v>13</v>
      </c>
      <c r="Q19" s="188"/>
      <c r="R19" s="188"/>
    </row>
    <row r="20" spans="1:18" s="115" customFormat="1" ht="35.25" customHeight="1">
      <c r="A20" s="38" t="s">
        <v>87</v>
      </c>
      <c r="B20" s="38">
        <v>608</v>
      </c>
      <c r="C20" s="191">
        <v>437</v>
      </c>
      <c r="D20" s="191"/>
      <c r="E20" s="191">
        <v>437</v>
      </c>
      <c r="F20" s="189">
        <f t="shared" si="4"/>
        <v>35</v>
      </c>
      <c r="G20" s="191">
        <v>122</v>
      </c>
      <c r="H20" s="191">
        <f t="shared" si="5"/>
        <v>120</v>
      </c>
      <c r="I20" s="181">
        <v>161</v>
      </c>
      <c r="J20" s="192">
        <f t="shared" si="0"/>
        <v>27.91762013729977</v>
      </c>
      <c r="K20" s="195"/>
      <c r="L20" s="192">
        <f t="shared" si="1"/>
        <v>27.45995423340961</v>
      </c>
      <c r="M20" s="193">
        <f t="shared" si="2"/>
        <v>-24.22360248447205</v>
      </c>
      <c r="N20" s="191">
        <v>87</v>
      </c>
      <c r="O20" s="196">
        <v>2</v>
      </c>
      <c r="P20" s="188">
        <f t="shared" si="6"/>
        <v>9</v>
      </c>
      <c r="Q20" s="188"/>
      <c r="R20" s="188"/>
    </row>
    <row r="21" spans="1:18" s="115" customFormat="1" ht="33" customHeight="1">
      <c r="A21" s="38" t="s">
        <v>88</v>
      </c>
      <c r="B21" s="38">
        <v>955</v>
      </c>
      <c r="C21" s="191">
        <v>683</v>
      </c>
      <c r="D21" s="191"/>
      <c r="E21" s="191">
        <v>683</v>
      </c>
      <c r="F21" s="189">
        <f t="shared" si="4"/>
        <v>10</v>
      </c>
      <c r="G21" s="191">
        <v>44</v>
      </c>
      <c r="H21" s="191">
        <f t="shared" si="5"/>
        <v>43</v>
      </c>
      <c r="I21" s="181">
        <v>172</v>
      </c>
      <c r="J21" s="192">
        <f t="shared" si="0"/>
        <v>6.44216691068814</v>
      </c>
      <c r="K21" s="195"/>
      <c r="L21" s="192">
        <f t="shared" si="1"/>
        <v>6.295754026354319</v>
      </c>
      <c r="M21" s="193">
        <f t="shared" si="2"/>
        <v>-74.4186046511628</v>
      </c>
      <c r="N21" s="191">
        <v>34</v>
      </c>
      <c r="O21" s="196">
        <v>1</v>
      </c>
      <c r="P21" s="188">
        <f t="shared" si="6"/>
        <v>26</v>
      </c>
      <c r="Q21" s="188"/>
      <c r="R21" s="188"/>
    </row>
    <row r="22" spans="1:18" s="115" customFormat="1" ht="33" customHeight="1">
      <c r="A22" s="38" t="s">
        <v>89</v>
      </c>
      <c r="B22" s="38">
        <v>1132</v>
      </c>
      <c r="C22" s="191">
        <v>636</v>
      </c>
      <c r="D22" s="191"/>
      <c r="E22" s="191">
        <v>636</v>
      </c>
      <c r="F22" s="189">
        <f t="shared" si="4"/>
        <v>14</v>
      </c>
      <c r="G22" s="191">
        <v>84</v>
      </c>
      <c r="H22" s="191">
        <f t="shared" si="5"/>
        <v>82</v>
      </c>
      <c r="I22" s="181">
        <v>154</v>
      </c>
      <c r="J22" s="192">
        <f t="shared" si="0"/>
        <v>13.20754716981132</v>
      </c>
      <c r="K22" s="195"/>
      <c r="L22" s="192">
        <f t="shared" si="1"/>
        <v>12.89308176100629</v>
      </c>
      <c r="M22" s="193">
        <f t="shared" si="2"/>
        <v>-45.45454545454545</v>
      </c>
      <c r="N22" s="191">
        <v>70</v>
      </c>
      <c r="O22" s="196">
        <v>2</v>
      </c>
      <c r="P22" s="188">
        <f t="shared" si="6"/>
        <v>17</v>
      </c>
      <c r="Q22" s="188"/>
      <c r="R22" s="188"/>
    </row>
    <row r="23" spans="1:18" s="115" customFormat="1" ht="33" customHeight="1">
      <c r="A23" s="38" t="s">
        <v>90</v>
      </c>
      <c r="B23" s="38">
        <v>746</v>
      </c>
      <c r="C23" s="191">
        <v>550</v>
      </c>
      <c r="D23" s="191"/>
      <c r="E23" s="191">
        <v>550</v>
      </c>
      <c r="F23" s="189">
        <f t="shared" si="4"/>
        <v>4</v>
      </c>
      <c r="G23" s="191">
        <v>82</v>
      </c>
      <c r="H23" s="191">
        <f t="shared" si="5"/>
        <v>80</v>
      </c>
      <c r="I23" s="181">
        <v>107</v>
      </c>
      <c r="J23" s="192">
        <f t="shared" si="0"/>
        <v>14.909090909090908</v>
      </c>
      <c r="K23" s="195"/>
      <c r="L23" s="192">
        <f t="shared" si="1"/>
        <v>14.545454545454545</v>
      </c>
      <c r="M23" s="193">
        <f t="shared" si="2"/>
        <v>-23.364485981308412</v>
      </c>
      <c r="N23" s="191">
        <v>78</v>
      </c>
      <c r="O23" s="196">
        <v>2</v>
      </c>
      <c r="P23" s="188">
        <f t="shared" si="6"/>
        <v>16</v>
      </c>
      <c r="Q23" s="188"/>
      <c r="R23" s="188"/>
    </row>
    <row r="24" spans="1:18" s="115" customFormat="1" ht="33" customHeight="1">
      <c r="A24" s="38" t="s">
        <v>91</v>
      </c>
      <c r="B24" s="38">
        <v>1070</v>
      </c>
      <c r="C24" s="191">
        <v>723</v>
      </c>
      <c r="D24" s="191"/>
      <c r="E24" s="191">
        <v>723</v>
      </c>
      <c r="F24" s="189">
        <f t="shared" si="4"/>
        <v>23</v>
      </c>
      <c r="G24" s="191">
        <v>212</v>
      </c>
      <c r="H24" s="191">
        <f t="shared" si="5"/>
        <v>202</v>
      </c>
      <c r="I24" s="181">
        <v>180</v>
      </c>
      <c r="J24" s="192">
        <f t="shared" si="0"/>
        <v>29.322268326417706</v>
      </c>
      <c r="K24" s="195"/>
      <c r="L24" s="192">
        <f t="shared" si="1"/>
        <v>27.93914246196404</v>
      </c>
      <c r="M24" s="193">
        <f t="shared" si="2"/>
        <v>17.77777777777778</v>
      </c>
      <c r="N24" s="191">
        <v>189</v>
      </c>
      <c r="O24" s="196">
        <v>10</v>
      </c>
      <c r="P24" s="188">
        <f t="shared" si="6"/>
        <v>8</v>
      </c>
      <c r="Q24" s="188"/>
      <c r="R24" s="188"/>
    </row>
    <row r="25" spans="1:18" s="115" customFormat="1" ht="33" customHeight="1">
      <c r="A25" s="38" t="s">
        <v>92</v>
      </c>
      <c r="B25" s="38">
        <v>1435</v>
      </c>
      <c r="C25" s="191">
        <v>960</v>
      </c>
      <c r="D25" s="191"/>
      <c r="E25" s="191">
        <v>960</v>
      </c>
      <c r="F25" s="189">
        <f t="shared" si="4"/>
        <v>41</v>
      </c>
      <c r="G25" s="191">
        <v>58</v>
      </c>
      <c r="H25" s="191">
        <f t="shared" si="5"/>
        <v>29</v>
      </c>
      <c r="I25" s="181">
        <v>208</v>
      </c>
      <c r="J25" s="192">
        <f t="shared" si="0"/>
        <v>6.041666666666667</v>
      </c>
      <c r="K25" s="195"/>
      <c r="L25" s="192">
        <f t="shared" si="1"/>
        <v>3.0208333333333335</v>
      </c>
      <c r="M25" s="193">
        <f t="shared" si="2"/>
        <v>-72.11538461538461</v>
      </c>
      <c r="N25" s="191">
        <v>17</v>
      </c>
      <c r="O25" s="196">
        <v>29</v>
      </c>
      <c r="P25" s="188">
        <f t="shared" si="6"/>
        <v>28</v>
      </c>
      <c r="Q25" s="188"/>
      <c r="R25" s="188"/>
    </row>
    <row r="26" spans="1:18" s="115" customFormat="1" ht="33" customHeight="1">
      <c r="A26" s="38" t="s">
        <v>93</v>
      </c>
      <c r="B26" s="38">
        <v>812</v>
      </c>
      <c r="C26" s="191">
        <v>776</v>
      </c>
      <c r="D26" s="191"/>
      <c r="E26" s="191">
        <v>776</v>
      </c>
      <c r="F26" s="189">
        <f t="shared" si="4"/>
        <v>22</v>
      </c>
      <c r="G26" s="191">
        <v>99</v>
      </c>
      <c r="H26" s="191">
        <f t="shared" si="5"/>
        <v>95</v>
      </c>
      <c r="I26" s="181">
        <v>114</v>
      </c>
      <c r="J26" s="192">
        <f t="shared" si="0"/>
        <v>12.757731958762886</v>
      </c>
      <c r="K26" s="195"/>
      <c r="L26" s="192">
        <f t="shared" si="1"/>
        <v>12.242268041237113</v>
      </c>
      <c r="M26" s="193">
        <f t="shared" si="2"/>
        <v>-13.157894736842104</v>
      </c>
      <c r="N26" s="191">
        <v>77</v>
      </c>
      <c r="O26" s="196">
        <v>4</v>
      </c>
      <c r="P26" s="188">
        <f t="shared" si="6"/>
        <v>18</v>
      </c>
      <c r="Q26" s="188"/>
      <c r="R26" s="188"/>
    </row>
    <row r="27" spans="1:18" s="115" customFormat="1" ht="33" customHeight="1">
      <c r="A27" s="38" t="s">
        <v>94</v>
      </c>
      <c r="B27" s="38">
        <v>439</v>
      </c>
      <c r="C27" s="191">
        <v>422</v>
      </c>
      <c r="D27" s="191"/>
      <c r="E27" s="191">
        <v>422</v>
      </c>
      <c r="F27" s="189">
        <f t="shared" si="4"/>
        <v>13</v>
      </c>
      <c r="G27" s="191">
        <v>47</v>
      </c>
      <c r="H27" s="191">
        <f t="shared" si="5"/>
        <v>47</v>
      </c>
      <c r="I27" s="181">
        <v>120</v>
      </c>
      <c r="J27" s="192">
        <f t="shared" si="0"/>
        <v>11.137440758293838</v>
      </c>
      <c r="K27" s="195"/>
      <c r="L27" s="192">
        <f t="shared" si="1"/>
        <v>11.137440758293838</v>
      </c>
      <c r="M27" s="193">
        <f t="shared" si="2"/>
        <v>-60.83333333333333</v>
      </c>
      <c r="N27" s="191">
        <v>34</v>
      </c>
      <c r="O27" s="196"/>
      <c r="P27" s="188">
        <f t="shared" si="6"/>
        <v>21</v>
      </c>
      <c r="Q27" s="188"/>
      <c r="R27" s="188"/>
    </row>
    <row r="28" spans="1:18" s="115" customFormat="1" ht="33" customHeight="1">
      <c r="A28" s="38" t="s">
        <v>95</v>
      </c>
      <c r="B28" s="38">
        <v>1167</v>
      </c>
      <c r="C28" s="191">
        <v>869</v>
      </c>
      <c r="D28" s="191"/>
      <c r="E28" s="191">
        <v>869</v>
      </c>
      <c r="F28" s="189">
        <f t="shared" si="4"/>
        <v>16</v>
      </c>
      <c r="G28" s="191">
        <v>322</v>
      </c>
      <c r="H28" s="191">
        <f t="shared" si="5"/>
        <v>319</v>
      </c>
      <c r="I28" s="181">
        <v>180</v>
      </c>
      <c r="J28" s="192">
        <f t="shared" si="0"/>
        <v>37.05408515535098</v>
      </c>
      <c r="K28" s="195"/>
      <c r="L28" s="192">
        <f t="shared" si="1"/>
        <v>36.708860759493675</v>
      </c>
      <c r="M28" s="193">
        <f t="shared" si="2"/>
        <v>78.88888888888889</v>
      </c>
      <c r="N28" s="191">
        <v>306</v>
      </c>
      <c r="O28" s="196">
        <v>3</v>
      </c>
      <c r="P28" s="188">
        <f t="shared" si="6"/>
        <v>6</v>
      </c>
      <c r="Q28" s="188"/>
      <c r="R28" s="188"/>
    </row>
    <row r="29" spans="1:18" s="115" customFormat="1" ht="33" customHeight="1">
      <c r="A29" s="38" t="s">
        <v>96</v>
      </c>
      <c r="B29" s="38">
        <v>875</v>
      </c>
      <c r="C29" s="191">
        <v>614</v>
      </c>
      <c r="D29" s="191"/>
      <c r="E29" s="191">
        <v>614</v>
      </c>
      <c r="F29" s="189">
        <f t="shared" si="4"/>
        <v>12</v>
      </c>
      <c r="G29" s="191">
        <v>72</v>
      </c>
      <c r="H29" s="191">
        <f t="shared" si="5"/>
        <v>69</v>
      </c>
      <c r="I29" s="181">
        <v>266</v>
      </c>
      <c r="J29" s="192">
        <f t="shared" si="0"/>
        <v>11.726384364820847</v>
      </c>
      <c r="K29" s="195"/>
      <c r="L29" s="192">
        <f t="shared" si="1"/>
        <v>11.237785016286644</v>
      </c>
      <c r="M29" s="193">
        <f t="shared" si="2"/>
        <v>-72.93233082706767</v>
      </c>
      <c r="N29" s="191">
        <v>60</v>
      </c>
      <c r="O29" s="196">
        <v>3</v>
      </c>
      <c r="P29" s="188">
        <f t="shared" si="6"/>
        <v>20</v>
      </c>
      <c r="Q29" s="188"/>
      <c r="R29" s="188"/>
    </row>
    <row r="30" spans="1:18" s="115" customFormat="1" ht="33" customHeight="1">
      <c r="A30" s="38" t="s">
        <v>97</v>
      </c>
      <c r="B30" s="38">
        <v>560</v>
      </c>
      <c r="C30" s="191">
        <v>428</v>
      </c>
      <c r="D30" s="191"/>
      <c r="E30" s="191">
        <v>428</v>
      </c>
      <c r="F30" s="189">
        <f t="shared" si="4"/>
        <v>17</v>
      </c>
      <c r="G30" s="191">
        <v>42</v>
      </c>
      <c r="H30" s="191">
        <f t="shared" si="5"/>
        <v>42</v>
      </c>
      <c r="I30" s="181">
        <v>144</v>
      </c>
      <c r="J30" s="192">
        <f t="shared" si="0"/>
        <v>9.813084112149532</v>
      </c>
      <c r="K30" s="195"/>
      <c r="L30" s="192">
        <f t="shared" si="1"/>
        <v>9.813084112149532</v>
      </c>
      <c r="M30" s="193">
        <f t="shared" si="2"/>
        <v>-70.83333333333334</v>
      </c>
      <c r="N30" s="191">
        <v>25</v>
      </c>
      <c r="O30" s="196"/>
      <c r="P30" s="188">
        <f t="shared" si="6"/>
        <v>23</v>
      </c>
      <c r="Q30" s="188"/>
      <c r="R30" s="188"/>
    </row>
    <row r="31" spans="1:18" s="115" customFormat="1" ht="33" customHeight="1">
      <c r="A31" s="38" t="s">
        <v>98</v>
      </c>
      <c r="B31" s="38">
        <v>982</v>
      </c>
      <c r="C31" s="191">
        <v>759</v>
      </c>
      <c r="D31" s="191"/>
      <c r="E31" s="191">
        <v>759</v>
      </c>
      <c r="F31" s="189">
        <f t="shared" si="4"/>
        <v>3</v>
      </c>
      <c r="G31" s="191">
        <v>186</v>
      </c>
      <c r="H31" s="191">
        <f t="shared" si="5"/>
        <v>185</v>
      </c>
      <c r="I31" s="181">
        <v>283</v>
      </c>
      <c r="J31" s="192">
        <f t="shared" si="0"/>
        <v>24.50592885375494</v>
      </c>
      <c r="K31" s="195"/>
      <c r="L31" s="192">
        <f t="shared" si="1"/>
        <v>24.37417654808959</v>
      </c>
      <c r="M31" s="193">
        <f t="shared" si="2"/>
        <v>-34.275618374558306</v>
      </c>
      <c r="N31" s="191">
        <v>183</v>
      </c>
      <c r="O31" s="196">
        <v>1</v>
      </c>
      <c r="P31" s="188">
        <f t="shared" si="6"/>
        <v>10</v>
      </c>
      <c r="Q31" s="188"/>
      <c r="R31" s="188"/>
    </row>
    <row r="32" spans="1:18" s="115" customFormat="1" ht="33" customHeight="1">
      <c r="A32" s="38" t="s">
        <v>99</v>
      </c>
      <c r="B32" s="38">
        <v>1285</v>
      </c>
      <c r="C32" s="191">
        <v>819</v>
      </c>
      <c r="D32" s="191"/>
      <c r="E32" s="191">
        <v>819</v>
      </c>
      <c r="F32" s="189">
        <f t="shared" si="4"/>
        <v>110</v>
      </c>
      <c r="G32" s="191">
        <v>344</v>
      </c>
      <c r="H32" s="191">
        <f t="shared" si="5"/>
        <v>281</v>
      </c>
      <c r="I32" s="181">
        <v>436</v>
      </c>
      <c r="J32" s="192">
        <f t="shared" si="0"/>
        <v>42.002442002442</v>
      </c>
      <c r="K32" s="195"/>
      <c r="L32" s="192">
        <f t="shared" si="1"/>
        <v>34.31013431013431</v>
      </c>
      <c r="M32" s="193">
        <f t="shared" si="2"/>
        <v>-21.100917431192663</v>
      </c>
      <c r="N32" s="191">
        <v>234</v>
      </c>
      <c r="O32" s="196">
        <v>63</v>
      </c>
      <c r="P32" s="188">
        <f t="shared" si="6"/>
        <v>5</v>
      </c>
      <c r="Q32" s="188"/>
      <c r="R32" s="188"/>
    </row>
    <row r="33" spans="1:18" s="115" customFormat="1" ht="33" customHeight="1">
      <c r="A33" s="38" t="s">
        <v>100</v>
      </c>
      <c r="B33" s="38">
        <v>748</v>
      </c>
      <c r="C33" s="191">
        <v>451</v>
      </c>
      <c r="D33" s="191"/>
      <c r="E33" s="191">
        <v>451</v>
      </c>
      <c r="F33" s="189">
        <f t="shared" si="4"/>
        <v>7</v>
      </c>
      <c r="G33" s="191">
        <v>48</v>
      </c>
      <c r="H33" s="191">
        <f t="shared" si="5"/>
        <v>41</v>
      </c>
      <c r="I33" s="181">
        <v>207</v>
      </c>
      <c r="J33" s="192">
        <f t="shared" si="0"/>
        <v>10.643015521064301</v>
      </c>
      <c r="K33" s="195"/>
      <c r="L33" s="192">
        <f t="shared" si="1"/>
        <v>9.090909090909092</v>
      </c>
      <c r="M33" s="193">
        <f t="shared" si="2"/>
        <v>-76.81159420289855</v>
      </c>
      <c r="N33" s="191">
        <v>41</v>
      </c>
      <c r="O33" s="196">
        <v>7</v>
      </c>
      <c r="P33" s="188">
        <f t="shared" si="6"/>
        <v>22</v>
      </c>
      <c r="Q33" s="188"/>
      <c r="R33" s="188"/>
    </row>
    <row r="34" spans="1:18" s="115" customFormat="1" ht="34.5" customHeight="1">
      <c r="A34" s="38" t="s">
        <v>101</v>
      </c>
      <c r="B34" s="38">
        <v>575</v>
      </c>
      <c r="C34" s="191">
        <v>428</v>
      </c>
      <c r="D34" s="191"/>
      <c r="E34" s="191">
        <v>428</v>
      </c>
      <c r="F34" s="189">
        <f t="shared" si="4"/>
        <v>22</v>
      </c>
      <c r="G34" s="191">
        <v>66</v>
      </c>
      <c r="H34" s="191">
        <f t="shared" si="5"/>
        <v>65</v>
      </c>
      <c r="I34" s="181">
        <v>237</v>
      </c>
      <c r="J34" s="192">
        <f t="shared" si="0"/>
        <v>15.42056074766355</v>
      </c>
      <c r="K34" s="195"/>
      <c r="L34" s="192">
        <f t="shared" si="1"/>
        <v>15.186915887850466</v>
      </c>
      <c r="M34" s="193">
        <f t="shared" si="2"/>
        <v>-72.15189873417721</v>
      </c>
      <c r="N34" s="191">
        <v>44</v>
      </c>
      <c r="O34" s="196">
        <v>1</v>
      </c>
      <c r="P34" s="188">
        <f t="shared" si="6"/>
        <v>15</v>
      </c>
      <c r="Q34" s="188"/>
      <c r="R34" s="188"/>
    </row>
    <row r="35" spans="1:18" s="115" customFormat="1" ht="34.5" customHeight="1">
      <c r="A35" s="38" t="s">
        <v>102</v>
      </c>
      <c r="B35" s="38">
        <v>631</v>
      </c>
      <c r="C35" s="191">
        <v>598</v>
      </c>
      <c r="D35" s="191"/>
      <c r="E35" s="191">
        <v>598</v>
      </c>
      <c r="F35" s="189">
        <f t="shared" si="4"/>
        <v>114</v>
      </c>
      <c r="G35" s="191">
        <v>140</v>
      </c>
      <c r="H35" s="191">
        <f t="shared" si="5"/>
        <v>48</v>
      </c>
      <c r="I35" s="181">
        <v>240</v>
      </c>
      <c r="J35" s="192">
        <f t="shared" si="0"/>
        <v>23.411371237458194</v>
      </c>
      <c r="K35" s="195"/>
      <c r="L35" s="192">
        <f t="shared" si="1"/>
        <v>8.02675585284281</v>
      </c>
      <c r="M35" s="193">
        <f t="shared" si="2"/>
        <v>-41.66666666666667</v>
      </c>
      <c r="N35" s="191">
        <v>26</v>
      </c>
      <c r="O35" s="196">
        <v>92</v>
      </c>
      <c r="P35" s="188">
        <f t="shared" si="6"/>
        <v>11</v>
      </c>
      <c r="Q35" s="188"/>
      <c r="R35" s="188"/>
    </row>
    <row r="36" spans="1:18" s="115" customFormat="1" ht="34.5" customHeight="1">
      <c r="A36" s="38" t="s">
        <v>103</v>
      </c>
      <c r="B36" s="38">
        <v>1120</v>
      </c>
      <c r="C36" s="191">
        <v>461</v>
      </c>
      <c r="D36" s="191"/>
      <c r="E36" s="191">
        <v>461</v>
      </c>
      <c r="F36" s="189">
        <f t="shared" si="4"/>
        <v>19</v>
      </c>
      <c r="G36" s="191">
        <v>73</v>
      </c>
      <c r="H36" s="191">
        <f t="shared" si="5"/>
        <v>72</v>
      </c>
      <c r="I36" s="181">
        <v>68</v>
      </c>
      <c r="J36" s="192">
        <f t="shared" si="0"/>
        <v>15.835140997830802</v>
      </c>
      <c r="K36" s="195"/>
      <c r="L36" s="192">
        <f t="shared" si="1"/>
        <v>15.61822125813449</v>
      </c>
      <c r="M36" s="193">
        <f t="shared" si="2"/>
        <v>7.352941176470589</v>
      </c>
      <c r="N36" s="191">
        <v>54</v>
      </c>
      <c r="O36" s="196">
        <v>1</v>
      </c>
      <c r="P36" s="188">
        <f t="shared" si="6"/>
        <v>14</v>
      </c>
      <c r="Q36" s="188"/>
      <c r="R36" s="188"/>
    </row>
    <row r="37" spans="1:18" s="115" customFormat="1" ht="34.5" customHeight="1">
      <c r="A37" s="38" t="s">
        <v>104</v>
      </c>
      <c r="B37" s="38">
        <v>936</v>
      </c>
      <c r="C37" s="191">
        <v>682</v>
      </c>
      <c r="D37" s="191"/>
      <c r="E37" s="191">
        <v>682</v>
      </c>
      <c r="F37" s="189">
        <f t="shared" si="4"/>
        <v>15</v>
      </c>
      <c r="G37" s="191">
        <v>42</v>
      </c>
      <c r="H37" s="191">
        <f t="shared" si="5"/>
        <v>41</v>
      </c>
      <c r="I37" s="181">
        <v>51</v>
      </c>
      <c r="J37" s="192">
        <f t="shared" si="0"/>
        <v>6.158357771260997</v>
      </c>
      <c r="K37" s="195"/>
      <c r="L37" s="192">
        <f t="shared" si="1"/>
        <v>6.011730205278592</v>
      </c>
      <c r="M37" s="193">
        <f t="shared" si="2"/>
        <v>-17.647058823529413</v>
      </c>
      <c r="N37" s="191">
        <v>27</v>
      </c>
      <c r="O37" s="196">
        <v>1</v>
      </c>
      <c r="P37" s="188">
        <f t="shared" si="6"/>
        <v>27</v>
      </c>
      <c r="Q37" s="188"/>
      <c r="R37" s="188"/>
    </row>
    <row r="38" spans="1:13" s="115" customFormat="1" ht="23.25" customHeight="1">
      <c r="A38" s="143"/>
      <c r="B38" s="143"/>
      <c r="C38" s="143"/>
      <c r="D38" s="143"/>
      <c r="E38" s="143"/>
      <c r="F38" s="144"/>
      <c r="G38" s="199"/>
      <c r="H38" s="143"/>
      <c r="I38" s="200"/>
      <c r="J38" s="147"/>
      <c r="K38" s="147"/>
      <c r="L38" s="147"/>
      <c r="M38" s="147"/>
    </row>
  </sheetData>
  <sheetProtection formatCells="0" formatColumns="0" formatRows="0" insertColumns="0" insertRows="0"/>
  <mergeCells count="10">
    <mergeCell ref="N3:N4"/>
    <mergeCell ref="A1:M1"/>
    <mergeCell ref="J2:M2"/>
    <mergeCell ref="A3:A4"/>
    <mergeCell ref="C3:E3"/>
    <mergeCell ref="F3:F4"/>
    <mergeCell ref="G3:H3"/>
    <mergeCell ref="I3:I4"/>
    <mergeCell ref="J3:M3"/>
    <mergeCell ref="B3:B4"/>
  </mergeCells>
  <printOptions horizontalCentered="1"/>
  <pageMargins left="0.5511811023622047" right="0.5511811023622047" top="0.79" bottom="0.7" header="0.1968503937007874" footer="0.53"/>
  <pageSetup blackAndWhite="1" errors="blank" fitToHeight="2" horizontalDpi="600" verticalDpi="600" orientation="portrait" paperSize="13" scale="82" r:id="rId2"/>
  <headerFooter alignWithMargins="0">
    <oddFooter xml:space="preserve">&amp;C&amp;11·&amp;12  &amp;P  &amp;11·&amp;12  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showZeros="0" view="pageBreakPreview" zoomScaleSheetLayoutView="100" workbookViewId="0" topLeftCell="A1">
      <selection activeCell="J1" sqref="J1:N16384"/>
    </sheetView>
  </sheetViews>
  <sheetFormatPr defaultColWidth="9.00390625" defaultRowHeight="23.25" customHeight="1"/>
  <cols>
    <col min="1" max="1" width="13.125" style="150" customWidth="1"/>
    <col min="2" max="2" width="9.375" style="216" hidden="1" customWidth="1"/>
    <col min="3" max="3" width="6.75390625" style="216" hidden="1" customWidth="1"/>
    <col min="4" max="4" width="12.125" style="217" customWidth="1"/>
    <col min="5" max="5" width="10.125" style="217" customWidth="1"/>
    <col min="6" max="6" width="11.375" style="217" customWidth="1"/>
    <col min="7" max="7" width="10.75390625" style="217" customWidth="1"/>
    <col min="8" max="8" width="11.75390625" style="218" customWidth="1"/>
    <col min="9" max="9" width="10.75390625" style="219" customWidth="1"/>
    <col min="10" max="10" width="0" style="150" hidden="1" customWidth="1"/>
    <col min="11" max="11" width="10.625" style="150" hidden="1" customWidth="1"/>
    <col min="12" max="12" width="12.375" style="150" hidden="1" customWidth="1"/>
    <col min="13" max="14" width="0" style="150" hidden="1" customWidth="1"/>
    <col min="15" max="16384" width="9.00390625" style="150" customWidth="1"/>
  </cols>
  <sheetData>
    <row r="1" spans="1:9" s="174" customFormat="1" ht="42" customHeight="1">
      <c r="A1" s="395" t="str">
        <f>"2017年"&amp;'[1]数据分析表'!J1&amp;"月邓州市一般公共预算支出分级完成情况表"</f>
        <v>2017年4月邓州市一般公共预算支出分级完成情况表</v>
      </c>
      <c r="B1" s="395"/>
      <c r="C1" s="395"/>
      <c r="D1" s="395"/>
      <c r="E1" s="395"/>
      <c r="F1" s="395"/>
      <c r="G1" s="395"/>
      <c r="H1" s="395"/>
      <c r="I1" s="395"/>
    </row>
    <row r="2" spans="1:9" s="141" customFormat="1" ht="26.25" customHeight="1">
      <c r="A2" s="149" t="s">
        <v>105</v>
      </c>
      <c r="B2" s="149"/>
      <c r="C2" s="149"/>
      <c r="D2" s="175"/>
      <c r="E2" s="175"/>
      <c r="F2" s="175"/>
      <c r="G2" s="175"/>
      <c r="H2" s="426" t="s">
        <v>1</v>
      </c>
      <c r="I2" s="426"/>
    </row>
    <row r="3" spans="1:10" s="115" customFormat="1" ht="21" customHeight="1">
      <c r="A3" s="390" t="s">
        <v>68</v>
      </c>
      <c r="B3" s="383" t="s">
        <v>3</v>
      </c>
      <c r="C3" s="383" t="s">
        <v>54</v>
      </c>
      <c r="D3" s="383" t="s">
        <v>3</v>
      </c>
      <c r="E3" s="427" t="s">
        <v>55</v>
      </c>
      <c r="F3" s="427" t="s">
        <v>56</v>
      </c>
      <c r="G3" s="427" t="s">
        <v>6</v>
      </c>
      <c r="H3" s="429" t="s">
        <v>7</v>
      </c>
      <c r="I3" s="429"/>
      <c r="J3" s="204"/>
    </row>
    <row r="4" spans="1:10" s="115" customFormat="1" ht="38.25" customHeight="1">
      <c r="A4" s="390"/>
      <c r="B4" s="383"/>
      <c r="C4" s="383"/>
      <c r="D4" s="383"/>
      <c r="E4" s="427"/>
      <c r="F4" s="428"/>
      <c r="G4" s="428"/>
      <c r="H4" s="19" t="s">
        <v>12</v>
      </c>
      <c r="I4" s="19" t="s">
        <v>13</v>
      </c>
      <c r="J4" s="204"/>
    </row>
    <row r="5" spans="1:12" s="115" customFormat="1" ht="39.75" customHeight="1">
      <c r="A5" s="38" t="s">
        <v>75</v>
      </c>
      <c r="B5" s="206">
        <f>'全市支'!B5</f>
        <v>546406</v>
      </c>
      <c r="C5" s="206">
        <f>'全市支'!C5</f>
        <v>0</v>
      </c>
      <c r="D5" s="206">
        <f>'全市支'!D5</f>
        <v>546406</v>
      </c>
      <c r="E5" s="206">
        <f>'全市支'!E5</f>
        <v>34114</v>
      </c>
      <c r="F5" s="206">
        <f>'全市支'!F5</f>
        <v>200978</v>
      </c>
      <c r="G5" s="206">
        <f>'全市支'!G5</f>
        <v>133927.53785644053</v>
      </c>
      <c r="H5" s="119">
        <f aca="true" t="shared" si="0" ref="H5:H37">F5/D5*100</f>
        <v>36.78180693477012</v>
      </c>
      <c r="I5" s="119">
        <f aca="true" t="shared" si="1" ref="I5:I37">(F5-G5)/G5*100</f>
        <v>50.06473143367434</v>
      </c>
      <c r="J5" s="207"/>
      <c r="L5" s="188">
        <f>F5-F6-F7</f>
        <v>0</v>
      </c>
    </row>
    <row r="6" spans="1:10" s="115" customFormat="1" ht="39" customHeight="1">
      <c r="A6" s="38" t="s">
        <v>15</v>
      </c>
      <c r="B6" s="208">
        <f>'市级支'!B5</f>
        <v>0</v>
      </c>
      <c r="C6" s="208">
        <f>'市级支'!C5</f>
        <v>0</v>
      </c>
      <c r="D6" s="208">
        <f>'市级支'!D5</f>
        <v>499192</v>
      </c>
      <c r="E6" s="208">
        <f>'市级支'!E5</f>
        <v>31313</v>
      </c>
      <c r="F6" s="208">
        <f>'市级支'!F5</f>
        <v>187588</v>
      </c>
      <c r="G6" s="208">
        <f>'市级支'!G5</f>
        <v>125069.72276804784</v>
      </c>
      <c r="H6" s="119">
        <f t="shared" si="0"/>
        <v>37.57832657574641</v>
      </c>
      <c r="I6" s="119">
        <f t="shared" si="1"/>
        <v>49.986740074492275</v>
      </c>
      <c r="J6" s="204"/>
    </row>
    <row r="7" spans="1:10" s="115" customFormat="1" ht="36.75" customHeight="1">
      <c r="A7" s="38" t="s">
        <v>76</v>
      </c>
      <c r="B7" s="206">
        <f aca="true" t="shared" si="2" ref="B7:G7">SUM(B8:B37)</f>
        <v>0</v>
      </c>
      <c r="C7" s="206">
        <f t="shared" si="2"/>
        <v>0</v>
      </c>
      <c r="D7" s="206">
        <f t="shared" si="2"/>
        <v>47214</v>
      </c>
      <c r="E7" s="206">
        <f t="shared" si="2"/>
        <v>2801</v>
      </c>
      <c r="F7" s="206">
        <f t="shared" si="2"/>
        <v>13390</v>
      </c>
      <c r="G7" s="206">
        <f t="shared" si="2"/>
        <v>9108</v>
      </c>
      <c r="H7" s="119">
        <f t="shared" si="0"/>
        <v>28.360232134536368</v>
      </c>
      <c r="I7" s="119">
        <f t="shared" si="1"/>
        <v>47.013614404918755</v>
      </c>
      <c r="J7" s="206">
        <v>10589</v>
      </c>
    </row>
    <row r="8" spans="1:10" s="115" customFormat="1" ht="36.75" customHeight="1">
      <c r="A8" s="38" t="s">
        <v>234</v>
      </c>
      <c r="B8" s="209"/>
      <c r="C8" s="209"/>
      <c r="D8" s="209">
        <v>16214</v>
      </c>
      <c r="E8" s="45">
        <f aca="true" t="shared" si="3" ref="E8:E37">F8-J8</f>
        <v>587</v>
      </c>
      <c r="F8" s="209">
        <v>727</v>
      </c>
      <c r="G8" s="209"/>
      <c r="H8" s="42">
        <f t="shared" si="0"/>
        <v>4.483779449858147</v>
      </c>
      <c r="I8" s="42" t="e">
        <f t="shared" si="1"/>
        <v>#DIV/0!</v>
      </c>
      <c r="J8" s="206">
        <v>140</v>
      </c>
    </row>
    <row r="9" spans="1:10" s="115" customFormat="1" ht="36.75" customHeight="1">
      <c r="A9" s="38" t="s">
        <v>106</v>
      </c>
      <c r="B9" s="209"/>
      <c r="C9" s="209"/>
      <c r="D9" s="209">
        <v>2654</v>
      </c>
      <c r="E9" s="45">
        <f t="shared" si="3"/>
        <v>0</v>
      </c>
      <c r="F9" s="209"/>
      <c r="G9" s="209">
        <f>E9/E6*100</f>
        <v>0</v>
      </c>
      <c r="H9" s="42">
        <f t="shared" si="0"/>
        <v>0</v>
      </c>
      <c r="I9" s="42" t="e">
        <f t="shared" si="1"/>
        <v>#DIV/0!</v>
      </c>
      <c r="J9" s="206"/>
    </row>
    <row r="10" spans="1:10" s="115" customFormat="1" ht="36.75" customHeight="1">
      <c r="A10" s="38" t="s">
        <v>77</v>
      </c>
      <c r="B10" s="210"/>
      <c r="C10" s="210"/>
      <c r="D10" s="210">
        <v>1621</v>
      </c>
      <c r="E10" s="45">
        <f t="shared" si="3"/>
        <v>108</v>
      </c>
      <c r="F10" s="210">
        <v>371</v>
      </c>
      <c r="G10" s="210">
        <v>222</v>
      </c>
      <c r="H10" s="42">
        <f t="shared" si="0"/>
        <v>22.887106724244294</v>
      </c>
      <c r="I10" s="42">
        <f t="shared" si="1"/>
        <v>67.11711711711712</v>
      </c>
      <c r="J10" s="210">
        <v>263</v>
      </c>
    </row>
    <row r="11" spans="1:10" s="115" customFormat="1" ht="36.75" customHeight="1">
      <c r="A11" s="38" t="s">
        <v>78</v>
      </c>
      <c r="B11" s="210"/>
      <c r="C11" s="210"/>
      <c r="D11" s="210">
        <v>1575</v>
      </c>
      <c r="E11" s="45">
        <f t="shared" si="3"/>
        <v>206</v>
      </c>
      <c r="F11" s="210">
        <v>566</v>
      </c>
      <c r="G11" s="210">
        <v>406</v>
      </c>
      <c r="H11" s="42">
        <f t="shared" si="0"/>
        <v>35.93650793650794</v>
      </c>
      <c r="I11" s="42">
        <f t="shared" si="1"/>
        <v>39.40886699507389</v>
      </c>
      <c r="J11" s="210">
        <v>360</v>
      </c>
    </row>
    <row r="12" spans="1:10" s="115" customFormat="1" ht="36.75" customHeight="1">
      <c r="A12" s="38" t="s">
        <v>79</v>
      </c>
      <c r="B12" s="210"/>
      <c r="C12" s="210"/>
      <c r="D12" s="210">
        <v>1216</v>
      </c>
      <c r="E12" s="45">
        <f t="shared" si="3"/>
        <v>47</v>
      </c>
      <c r="F12" s="210">
        <v>509</v>
      </c>
      <c r="G12" s="210">
        <v>505</v>
      </c>
      <c r="H12" s="42">
        <f t="shared" si="0"/>
        <v>41.85855263157895</v>
      </c>
      <c r="I12" s="42">
        <f t="shared" si="1"/>
        <v>0.7920792079207921</v>
      </c>
      <c r="J12" s="210">
        <v>462</v>
      </c>
    </row>
    <row r="13" spans="1:10" s="115" customFormat="1" ht="36.75" customHeight="1">
      <c r="A13" s="38" t="s">
        <v>80</v>
      </c>
      <c r="B13" s="210"/>
      <c r="C13" s="210"/>
      <c r="D13" s="210">
        <v>916</v>
      </c>
      <c r="E13" s="45">
        <f t="shared" si="3"/>
        <v>36</v>
      </c>
      <c r="F13" s="210">
        <v>324</v>
      </c>
      <c r="G13" s="210">
        <v>267</v>
      </c>
      <c r="H13" s="42">
        <f t="shared" si="0"/>
        <v>35.37117903930131</v>
      </c>
      <c r="I13" s="42">
        <f t="shared" si="1"/>
        <v>21.34831460674157</v>
      </c>
      <c r="J13" s="210">
        <v>288</v>
      </c>
    </row>
    <row r="14" spans="1:10" s="115" customFormat="1" ht="36.75" customHeight="1">
      <c r="A14" s="38" t="s">
        <v>81</v>
      </c>
      <c r="B14" s="210"/>
      <c r="C14" s="210"/>
      <c r="D14" s="210">
        <v>889</v>
      </c>
      <c r="E14" s="45">
        <f t="shared" si="3"/>
        <v>98</v>
      </c>
      <c r="F14" s="210">
        <v>318</v>
      </c>
      <c r="G14" s="210">
        <v>156</v>
      </c>
      <c r="H14" s="42">
        <f t="shared" si="0"/>
        <v>35.77052868391451</v>
      </c>
      <c r="I14" s="42">
        <f t="shared" si="1"/>
        <v>103.84615384615385</v>
      </c>
      <c r="J14" s="210">
        <v>220</v>
      </c>
    </row>
    <row r="15" spans="1:10" s="115" customFormat="1" ht="36.75" customHeight="1">
      <c r="A15" s="38" t="s">
        <v>82</v>
      </c>
      <c r="B15" s="210"/>
      <c r="C15" s="210"/>
      <c r="D15" s="210">
        <v>881</v>
      </c>
      <c r="E15" s="45">
        <f t="shared" si="3"/>
        <v>3</v>
      </c>
      <c r="F15" s="210">
        <v>198</v>
      </c>
      <c r="G15" s="210">
        <v>148</v>
      </c>
      <c r="H15" s="42">
        <f t="shared" si="0"/>
        <v>22.474460839954595</v>
      </c>
      <c r="I15" s="42">
        <f t="shared" si="1"/>
        <v>33.78378378378378</v>
      </c>
      <c r="J15" s="210">
        <v>195</v>
      </c>
    </row>
    <row r="16" spans="1:10" s="115" customFormat="1" ht="36.75" customHeight="1">
      <c r="A16" s="38" t="s">
        <v>83</v>
      </c>
      <c r="B16" s="210"/>
      <c r="C16" s="210"/>
      <c r="D16" s="210">
        <v>923</v>
      </c>
      <c r="E16" s="45">
        <f t="shared" si="3"/>
        <v>169</v>
      </c>
      <c r="F16" s="210">
        <v>525</v>
      </c>
      <c r="G16" s="210">
        <v>370</v>
      </c>
      <c r="H16" s="42">
        <f t="shared" si="0"/>
        <v>56.87973997833152</v>
      </c>
      <c r="I16" s="42">
        <f t="shared" si="1"/>
        <v>41.891891891891895</v>
      </c>
      <c r="J16" s="210">
        <v>356</v>
      </c>
    </row>
    <row r="17" spans="1:10" s="115" customFormat="1" ht="36.75" customHeight="1">
      <c r="A17" s="38" t="s">
        <v>84</v>
      </c>
      <c r="B17" s="210"/>
      <c r="C17" s="210"/>
      <c r="D17" s="210">
        <v>972</v>
      </c>
      <c r="E17" s="45">
        <f t="shared" si="3"/>
        <v>0</v>
      </c>
      <c r="F17" s="210">
        <v>349</v>
      </c>
      <c r="G17" s="210">
        <v>333</v>
      </c>
      <c r="H17" s="42">
        <f t="shared" si="0"/>
        <v>35.90534979423868</v>
      </c>
      <c r="I17" s="42">
        <f t="shared" si="1"/>
        <v>4.804804804804805</v>
      </c>
      <c r="J17" s="210">
        <v>349</v>
      </c>
    </row>
    <row r="18" spans="1:10" s="115" customFormat="1" ht="36.75" customHeight="1">
      <c r="A18" s="38" t="s">
        <v>85</v>
      </c>
      <c r="B18" s="210"/>
      <c r="C18" s="210"/>
      <c r="D18" s="210">
        <v>1247</v>
      </c>
      <c r="E18" s="45">
        <f t="shared" si="3"/>
        <v>49</v>
      </c>
      <c r="F18" s="210">
        <v>569</v>
      </c>
      <c r="G18" s="210">
        <v>475</v>
      </c>
      <c r="H18" s="42">
        <f t="shared" si="0"/>
        <v>45.62951082598236</v>
      </c>
      <c r="I18" s="42">
        <f t="shared" si="1"/>
        <v>19.789473684210527</v>
      </c>
      <c r="J18" s="210">
        <v>520</v>
      </c>
    </row>
    <row r="19" spans="1:10" s="115" customFormat="1" ht="36.75" customHeight="1">
      <c r="A19" s="38" t="s">
        <v>86</v>
      </c>
      <c r="B19" s="210"/>
      <c r="C19" s="210"/>
      <c r="D19" s="210">
        <v>917</v>
      </c>
      <c r="E19" s="45">
        <f t="shared" si="3"/>
        <v>33</v>
      </c>
      <c r="F19" s="210">
        <v>951</v>
      </c>
      <c r="G19" s="210">
        <v>588</v>
      </c>
      <c r="H19" s="42">
        <f t="shared" si="0"/>
        <v>103.70774263904035</v>
      </c>
      <c r="I19" s="42">
        <f t="shared" si="1"/>
        <v>61.73469387755102</v>
      </c>
      <c r="J19" s="210">
        <v>918</v>
      </c>
    </row>
    <row r="20" spans="1:12" s="115" customFormat="1" ht="36.75" customHeight="1">
      <c r="A20" s="38" t="s">
        <v>87</v>
      </c>
      <c r="B20" s="210"/>
      <c r="C20" s="210"/>
      <c r="D20" s="210">
        <v>841</v>
      </c>
      <c r="E20" s="45">
        <f t="shared" si="3"/>
        <v>53</v>
      </c>
      <c r="F20" s="210">
        <v>438</v>
      </c>
      <c r="G20" s="210">
        <v>400</v>
      </c>
      <c r="H20" s="42">
        <f t="shared" si="0"/>
        <v>52.080856123662315</v>
      </c>
      <c r="I20" s="42">
        <f t="shared" si="1"/>
        <v>9.5</v>
      </c>
      <c r="J20" s="210">
        <v>385</v>
      </c>
      <c r="L20" s="211"/>
    </row>
    <row r="21" spans="1:10" s="115" customFormat="1" ht="36.75" customHeight="1">
      <c r="A21" s="38" t="s">
        <v>88</v>
      </c>
      <c r="B21" s="210"/>
      <c r="C21" s="210"/>
      <c r="D21" s="210">
        <v>1141</v>
      </c>
      <c r="E21" s="45">
        <f t="shared" si="3"/>
        <v>241</v>
      </c>
      <c r="F21" s="210">
        <v>616</v>
      </c>
      <c r="G21" s="210">
        <v>358</v>
      </c>
      <c r="H21" s="42">
        <f t="shared" si="0"/>
        <v>53.987730061349694</v>
      </c>
      <c r="I21" s="42">
        <f t="shared" si="1"/>
        <v>72.06703910614524</v>
      </c>
      <c r="J21" s="210">
        <v>375</v>
      </c>
    </row>
    <row r="22" spans="1:10" s="115" customFormat="1" ht="34.5" customHeight="1">
      <c r="A22" s="38" t="s">
        <v>89</v>
      </c>
      <c r="B22" s="210"/>
      <c r="C22" s="210"/>
      <c r="D22" s="210">
        <v>897</v>
      </c>
      <c r="E22" s="45">
        <f t="shared" si="3"/>
        <v>34</v>
      </c>
      <c r="F22" s="210">
        <v>1116</v>
      </c>
      <c r="G22" s="210">
        <v>402</v>
      </c>
      <c r="H22" s="42">
        <f t="shared" si="0"/>
        <v>124.41471571906355</v>
      </c>
      <c r="I22" s="42">
        <f t="shared" si="1"/>
        <v>177.61194029850748</v>
      </c>
      <c r="J22" s="210">
        <v>1082</v>
      </c>
    </row>
    <row r="23" spans="1:10" s="115" customFormat="1" ht="34.5" customHeight="1">
      <c r="A23" s="38" t="s">
        <v>90</v>
      </c>
      <c r="B23" s="210"/>
      <c r="C23" s="210"/>
      <c r="D23" s="210">
        <v>946</v>
      </c>
      <c r="E23" s="45">
        <f t="shared" si="3"/>
        <v>46</v>
      </c>
      <c r="F23" s="210">
        <v>357</v>
      </c>
      <c r="G23" s="210">
        <v>360</v>
      </c>
      <c r="H23" s="42">
        <f t="shared" si="0"/>
        <v>37.73784355179704</v>
      </c>
      <c r="I23" s="42">
        <f t="shared" si="1"/>
        <v>-0.8333333333333334</v>
      </c>
      <c r="J23" s="210">
        <v>311</v>
      </c>
    </row>
    <row r="24" spans="1:10" s="115" customFormat="1" ht="34.5" customHeight="1">
      <c r="A24" s="38" t="s">
        <v>91</v>
      </c>
      <c r="B24" s="210"/>
      <c r="C24" s="210"/>
      <c r="D24" s="210">
        <v>856</v>
      </c>
      <c r="E24" s="45">
        <f t="shared" si="3"/>
        <v>83</v>
      </c>
      <c r="F24" s="210">
        <v>721</v>
      </c>
      <c r="G24" s="210">
        <v>223</v>
      </c>
      <c r="H24" s="42">
        <f t="shared" si="0"/>
        <v>84.22897196261682</v>
      </c>
      <c r="I24" s="42">
        <f t="shared" si="1"/>
        <v>223.3183856502242</v>
      </c>
      <c r="J24" s="210">
        <v>638</v>
      </c>
    </row>
    <row r="25" spans="1:10" s="115" customFormat="1" ht="34.5" customHeight="1">
      <c r="A25" s="38" t="s">
        <v>92</v>
      </c>
      <c r="B25" s="210"/>
      <c r="C25" s="210"/>
      <c r="D25" s="210">
        <v>1078</v>
      </c>
      <c r="E25" s="45">
        <f t="shared" si="3"/>
        <v>61</v>
      </c>
      <c r="F25" s="210">
        <v>343</v>
      </c>
      <c r="G25" s="210">
        <v>351</v>
      </c>
      <c r="H25" s="42">
        <f t="shared" si="0"/>
        <v>31.818181818181817</v>
      </c>
      <c r="I25" s="42">
        <f t="shared" si="1"/>
        <v>-2.2792022792022792</v>
      </c>
      <c r="J25" s="210">
        <v>282</v>
      </c>
    </row>
    <row r="26" spans="1:10" s="115" customFormat="1" ht="34.5" customHeight="1">
      <c r="A26" s="38" t="s">
        <v>93</v>
      </c>
      <c r="B26" s="210"/>
      <c r="C26" s="210"/>
      <c r="D26" s="210">
        <v>1046</v>
      </c>
      <c r="E26" s="45">
        <f t="shared" si="3"/>
        <v>40</v>
      </c>
      <c r="F26" s="210">
        <v>483</v>
      </c>
      <c r="G26" s="210">
        <v>378</v>
      </c>
      <c r="H26" s="42">
        <f t="shared" si="0"/>
        <v>46.17590822179732</v>
      </c>
      <c r="I26" s="42">
        <f t="shared" si="1"/>
        <v>27.77777777777778</v>
      </c>
      <c r="J26" s="210">
        <v>443</v>
      </c>
    </row>
    <row r="27" spans="1:10" s="115" customFormat="1" ht="34.5" customHeight="1">
      <c r="A27" s="38" t="s">
        <v>94</v>
      </c>
      <c r="B27" s="210"/>
      <c r="C27" s="210"/>
      <c r="D27" s="210">
        <v>533</v>
      </c>
      <c r="E27" s="45">
        <f t="shared" si="3"/>
        <v>31</v>
      </c>
      <c r="F27" s="210">
        <v>112</v>
      </c>
      <c r="G27" s="210">
        <v>97</v>
      </c>
      <c r="H27" s="42">
        <f t="shared" si="0"/>
        <v>21.013133208255162</v>
      </c>
      <c r="I27" s="42">
        <f t="shared" si="1"/>
        <v>15.463917525773196</v>
      </c>
      <c r="J27" s="210">
        <v>81</v>
      </c>
    </row>
    <row r="28" spans="1:10" s="115" customFormat="1" ht="34.5" customHeight="1">
      <c r="A28" s="38" t="s">
        <v>95</v>
      </c>
      <c r="B28" s="210"/>
      <c r="C28" s="210"/>
      <c r="D28" s="210">
        <v>1055</v>
      </c>
      <c r="E28" s="45">
        <f t="shared" si="3"/>
        <v>53</v>
      </c>
      <c r="F28" s="210">
        <v>331</v>
      </c>
      <c r="G28" s="210">
        <v>341</v>
      </c>
      <c r="H28" s="42">
        <f t="shared" si="0"/>
        <v>31.37440758293839</v>
      </c>
      <c r="I28" s="42">
        <f t="shared" si="1"/>
        <v>-2.932551319648094</v>
      </c>
      <c r="J28" s="210">
        <v>278</v>
      </c>
    </row>
    <row r="29" spans="1:10" s="115" customFormat="1" ht="34.5" customHeight="1">
      <c r="A29" s="38" t="s">
        <v>96</v>
      </c>
      <c r="B29" s="210"/>
      <c r="C29" s="210"/>
      <c r="D29" s="210">
        <v>924</v>
      </c>
      <c r="E29" s="45">
        <f t="shared" si="3"/>
        <v>31</v>
      </c>
      <c r="F29" s="210">
        <v>514</v>
      </c>
      <c r="G29" s="210">
        <v>347</v>
      </c>
      <c r="H29" s="42">
        <f t="shared" si="0"/>
        <v>55.62770562770562</v>
      </c>
      <c r="I29" s="42">
        <f t="shared" si="1"/>
        <v>48.126801152737755</v>
      </c>
      <c r="J29" s="210">
        <v>483</v>
      </c>
    </row>
    <row r="30" spans="1:10" s="115" customFormat="1" ht="34.5" customHeight="1">
      <c r="A30" s="38" t="s">
        <v>97</v>
      </c>
      <c r="B30" s="210"/>
      <c r="C30" s="210"/>
      <c r="D30" s="210">
        <v>848</v>
      </c>
      <c r="E30" s="45">
        <f t="shared" si="3"/>
        <v>133</v>
      </c>
      <c r="F30" s="210">
        <v>423</v>
      </c>
      <c r="G30" s="210">
        <v>269</v>
      </c>
      <c r="H30" s="42">
        <f t="shared" si="0"/>
        <v>49.88207547169811</v>
      </c>
      <c r="I30" s="42">
        <f t="shared" si="1"/>
        <v>57.249070631970255</v>
      </c>
      <c r="J30" s="210">
        <v>290</v>
      </c>
    </row>
    <row r="31" spans="1:10" s="115" customFormat="1" ht="34.5" customHeight="1">
      <c r="A31" s="38" t="s">
        <v>98</v>
      </c>
      <c r="B31" s="210"/>
      <c r="C31" s="210"/>
      <c r="D31" s="210">
        <v>1132</v>
      </c>
      <c r="E31" s="45">
        <f t="shared" si="3"/>
        <v>266</v>
      </c>
      <c r="F31" s="210">
        <v>370</v>
      </c>
      <c r="G31" s="210">
        <v>124</v>
      </c>
      <c r="H31" s="42">
        <f t="shared" si="0"/>
        <v>32.685512367491164</v>
      </c>
      <c r="I31" s="42">
        <f t="shared" si="1"/>
        <v>198.38709677419354</v>
      </c>
      <c r="J31" s="210">
        <v>104</v>
      </c>
    </row>
    <row r="32" spans="1:10" s="115" customFormat="1" ht="34.5" customHeight="1">
      <c r="A32" s="38" t="s">
        <v>99</v>
      </c>
      <c r="B32" s="210"/>
      <c r="C32" s="210"/>
      <c r="D32" s="210">
        <v>1112</v>
      </c>
      <c r="E32" s="45">
        <f t="shared" si="3"/>
        <v>86</v>
      </c>
      <c r="F32" s="210">
        <v>375</v>
      </c>
      <c r="G32" s="210">
        <v>371</v>
      </c>
      <c r="H32" s="42">
        <f t="shared" si="0"/>
        <v>33.723021582733814</v>
      </c>
      <c r="I32" s="42">
        <f t="shared" si="1"/>
        <v>1.078167115902965</v>
      </c>
      <c r="J32" s="210">
        <v>289</v>
      </c>
    </row>
    <row r="33" spans="1:10" s="115" customFormat="1" ht="34.5" customHeight="1">
      <c r="A33" s="38" t="s">
        <v>100</v>
      </c>
      <c r="B33" s="210"/>
      <c r="C33" s="210"/>
      <c r="D33" s="210">
        <v>897</v>
      </c>
      <c r="E33" s="45">
        <f t="shared" si="3"/>
        <v>34</v>
      </c>
      <c r="F33" s="210">
        <v>347</v>
      </c>
      <c r="G33" s="210">
        <v>320</v>
      </c>
      <c r="H33" s="42">
        <f t="shared" si="0"/>
        <v>38.684503901895205</v>
      </c>
      <c r="I33" s="42">
        <f t="shared" si="1"/>
        <v>8.4375</v>
      </c>
      <c r="J33" s="210">
        <v>313</v>
      </c>
    </row>
    <row r="34" spans="1:10" s="115" customFormat="1" ht="34.5" customHeight="1">
      <c r="A34" s="38" t="s">
        <v>101</v>
      </c>
      <c r="B34" s="210"/>
      <c r="C34" s="210"/>
      <c r="D34" s="210">
        <v>804</v>
      </c>
      <c r="E34" s="45">
        <f t="shared" si="3"/>
        <v>52</v>
      </c>
      <c r="F34" s="210">
        <v>303</v>
      </c>
      <c r="G34" s="210">
        <v>351</v>
      </c>
      <c r="H34" s="42">
        <f t="shared" si="0"/>
        <v>37.6865671641791</v>
      </c>
      <c r="I34" s="42">
        <f t="shared" si="1"/>
        <v>-13.675213675213676</v>
      </c>
      <c r="J34" s="210">
        <v>251</v>
      </c>
    </row>
    <row r="35" spans="1:10" s="115" customFormat="1" ht="34.5" customHeight="1">
      <c r="A35" s="38" t="s">
        <v>102</v>
      </c>
      <c r="B35" s="210"/>
      <c r="C35" s="210"/>
      <c r="D35" s="210">
        <v>1048</v>
      </c>
      <c r="E35" s="45">
        <f t="shared" si="3"/>
        <v>119</v>
      </c>
      <c r="F35" s="210">
        <v>369</v>
      </c>
      <c r="G35" s="210">
        <v>221</v>
      </c>
      <c r="H35" s="42">
        <f t="shared" si="0"/>
        <v>35.20992366412214</v>
      </c>
      <c r="I35" s="42">
        <f t="shared" si="1"/>
        <v>66.9683257918552</v>
      </c>
      <c r="J35" s="210">
        <v>250</v>
      </c>
    </row>
    <row r="36" spans="1:10" s="115" customFormat="1" ht="34.5" customHeight="1">
      <c r="A36" s="38" t="s">
        <v>103</v>
      </c>
      <c r="B36" s="210"/>
      <c r="C36" s="210"/>
      <c r="D36" s="210">
        <v>911</v>
      </c>
      <c r="E36" s="45">
        <f t="shared" si="3"/>
        <v>62</v>
      </c>
      <c r="F36" s="210">
        <v>437</v>
      </c>
      <c r="G36" s="210">
        <v>334</v>
      </c>
      <c r="H36" s="42">
        <f t="shared" si="0"/>
        <v>47.96926454445664</v>
      </c>
      <c r="I36" s="42">
        <f t="shared" si="1"/>
        <v>30.83832335329341</v>
      </c>
      <c r="J36" s="210">
        <v>375</v>
      </c>
    </row>
    <row r="37" spans="1:10" s="115" customFormat="1" ht="34.5" customHeight="1">
      <c r="A37" s="38" t="s">
        <v>104</v>
      </c>
      <c r="B37" s="210"/>
      <c r="C37" s="210"/>
      <c r="D37" s="210">
        <v>1120</v>
      </c>
      <c r="E37" s="45">
        <f t="shared" si="3"/>
        <v>40</v>
      </c>
      <c r="F37" s="210">
        <v>328</v>
      </c>
      <c r="G37" s="210">
        <v>391</v>
      </c>
      <c r="H37" s="42">
        <f t="shared" si="0"/>
        <v>29.28571428571429</v>
      </c>
      <c r="I37" s="42">
        <f t="shared" si="1"/>
        <v>-16.11253196930946</v>
      </c>
      <c r="J37" s="210">
        <v>288</v>
      </c>
    </row>
    <row r="38" spans="1:9" s="115" customFormat="1" ht="23.25" customHeight="1">
      <c r="A38" s="143"/>
      <c r="B38" s="212"/>
      <c r="C38" s="212"/>
      <c r="D38" s="213"/>
      <c r="E38" s="213"/>
      <c r="F38" s="213"/>
      <c r="G38" s="213"/>
      <c r="H38" s="214"/>
      <c r="I38" s="215"/>
    </row>
  </sheetData>
  <sheetProtection formatCells="0" formatColumns="0" formatRows="0" insertColumns="0" insertRows="0"/>
  <autoFilter ref="A7:I37"/>
  <mergeCells count="10">
    <mergeCell ref="A1:I1"/>
    <mergeCell ref="H2:I2"/>
    <mergeCell ref="A3:A4"/>
    <mergeCell ref="B3:B4"/>
    <mergeCell ref="C3:C4"/>
    <mergeCell ref="D3:D4"/>
    <mergeCell ref="E3:E4"/>
    <mergeCell ref="F3:F4"/>
    <mergeCell ref="G3:G4"/>
    <mergeCell ref="H3:I3"/>
  </mergeCells>
  <printOptions horizontalCentered="1"/>
  <pageMargins left="0.62" right="0.5511811023622047" top="0.79" bottom="0.71" header="0.1968503937007874" footer="0.51"/>
  <pageSetup blackAndWhite="1" errors="blank" firstPageNumber="26" useFirstPageNumber="1" horizontalDpi="600" verticalDpi="600" orientation="portrait" paperSize="13" scale="82" r:id="rId1"/>
  <headerFooter alignWithMargins="0">
    <oddFooter xml:space="preserve">&amp;C&amp;11·&amp;12  &amp;P  &amp;11·&amp;12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showZeros="0" zoomScale="110" zoomScaleNormal="110" zoomScaleSheetLayoutView="110" workbookViewId="0" topLeftCell="A1">
      <pane xSplit="1" ySplit="5" topLeftCell="C6" activePane="bottomRight" state="frozen"/>
      <selection pane="topLeft" activeCell="P8" sqref="P8"/>
      <selection pane="topRight" activeCell="P8" sqref="P8"/>
      <selection pane="bottomLeft" activeCell="P8" sqref="P8"/>
      <selection pane="bottomRight" activeCell="J1" sqref="J1:N16384"/>
    </sheetView>
  </sheetViews>
  <sheetFormatPr defaultColWidth="9.00390625" defaultRowHeight="14.25"/>
  <cols>
    <col min="1" max="1" width="13.875" style="232" customWidth="1"/>
    <col min="2" max="2" width="10.25390625" style="233" customWidth="1"/>
    <col min="3" max="3" width="9.375" style="234" customWidth="1"/>
    <col min="4" max="4" width="10.25390625" style="235" customWidth="1"/>
    <col min="5" max="5" width="8.50390625" style="236" customWidth="1"/>
    <col min="6" max="6" width="10.125" style="237" customWidth="1"/>
    <col min="7" max="7" width="8.25390625" style="236" customWidth="1"/>
    <col min="8" max="8" width="8.375" style="238" customWidth="1"/>
    <col min="9" max="9" width="9.50390625" style="238" customWidth="1"/>
    <col min="10" max="12" width="0" style="220" hidden="1" customWidth="1"/>
    <col min="13" max="14" width="0" style="221" hidden="1" customWidth="1"/>
    <col min="15" max="16384" width="9.00390625" style="221" customWidth="1"/>
  </cols>
  <sheetData>
    <row r="1" spans="1:9" ht="34.5" customHeight="1">
      <c r="A1" s="395" t="str">
        <f>"2017年"&amp;'[1]数据分析表'!J1&amp;"月邓州市一般公共预算收入构成情况表"</f>
        <v>2017年4月邓州市一般公共预算收入构成情况表</v>
      </c>
      <c r="B1" s="395"/>
      <c r="C1" s="395"/>
      <c r="D1" s="395"/>
      <c r="E1" s="395"/>
      <c r="F1" s="395"/>
      <c r="G1" s="395"/>
      <c r="H1" s="395"/>
      <c r="I1" s="395"/>
    </row>
    <row r="2" spans="1:9" s="223" customFormat="1" ht="22.5" customHeight="1">
      <c r="A2" s="9" t="s">
        <v>107</v>
      </c>
      <c r="B2" s="148"/>
      <c r="C2" s="222"/>
      <c r="D2" s="141"/>
      <c r="E2" s="176"/>
      <c r="F2" s="203"/>
      <c r="G2" s="176"/>
      <c r="H2" s="389" t="s">
        <v>1</v>
      </c>
      <c r="I2" s="389"/>
    </row>
    <row r="3" spans="1:13" s="226" customFormat="1" ht="28.5" customHeight="1">
      <c r="A3" s="413" t="s">
        <v>108</v>
      </c>
      <c r="B3" s="431" t="s">
        <v>109</v>
      </c>
      <c r="C3" s="432" t="s">
        <v>110</v>
      </c>
      <c r="D3" s="413" t="s">
        <v>111</v>
      </c>
      <c r="E3" s="413"/>
      <c r="F3" s="413"/>
      <c r="G3" s="413" t="s">
        <v>112</v>
      </c>
      <c r="H3" s="413"/>
      <c r="I3" s="413"/>
      <c r="J3" s="224"/>
      <c r="K3" s="224"/>
      <c r="L3" s="224"/>
      <c r="M3" s="225"/>
    </row>
    <row r="4" spans="1:13" s="226" customFormat="1" ht="26.25" customHeight="1">
      <c r="A4" s="413"/>
      <c r="B4" s="431"/>
      <c r="C4" s="432"/>
      <c r="D4" s="397" t="s">
        <v>113</v>
      </c>
      <c r="E4" s="433" t="s">
        <v>110</v>
      </c>
      <c r="F4" s="430" t="s">
        <v>114</v>
      </c>
      <c r="G4" s="397" t="s">
        <v>115</v>
      </c>
      <c r="H4" s="433" t="s">
        <v>110</v>
      </c>
      <c r="I4" s="430" t="s">
        <v>114</v>
      </c>
      <c r="J4" s="224"/>
      <c r="K4" s="224"/>
      <c r="L4" s="224"/>
      <c r="M4" s="225"/>
    </row>
    <row r="5" spans="1:13" s="226" customFormat="1" ht="21" customHeight="1">
      <c r="A5" s="413"/>
      <c r="B5" s="431"/>
      <c r="C5" s="432"/>
      <c r="D5" s="397"/>
      <c r="E5" s="433"/>
      <c r="F5" s="430"/>
      <c r="G5" s="397"/>
      <c r="H5" s="433"/>
      <c r="I5" s="430"/>
      <c r="J5" s="200" t="s">
        <v>116</v>
      </c>
      <c r="K5" s="200" t="s">
        <v>117</v>
      </c>
      <c r="L5" s="200" t="s">
        <v>74</v>
      </c>
      <c r="M5" s="225"/>
    </row>
    <row r="6" spans="1:13" s="226" customFormat="1" ht="39.75" customHeight="1">
      <c r="A6" s="38" t="s">
        <v>75</v>
      </c>
      <c r="B6" s="39">
        <f>'全市收'!E6</f>
        <v>49147</v>
      </c>
      <c r="C6" s="193">
        <f aca="true" t="shared" si="0" ref="C6:C38">(B6-J6)/J6*100</f>
        <v>9.712920796499686</v>
      </c>
      <c r="D6" s="39">
        <f>'全市收'!E7</f>
        <v>31072</v>
      </c>
      <c r="E6" s="193">
        <f aca="true" t="shared" si="1" ref="E6:E38">(D6-K6)/K6*100</f>
        <v>9.70589273735127</v>
      </c>
      <c r="F6" s="193">
        <f aca="true" t="shared" si="2" ref="F6:F38">D6/B6*100</f>
        <v>63.2225771664598</v>
      </c>
      <c r="G6" s="39">
        <f>B6-D6</f>
        <v>18075</v>
      </c>
      <c r="H6" s="42">
        <f aca="true" t="shared" si="3" ref="H6:H38">(G6-L6)/L6*100</f>
        <v>9.725004552904753</v>
      </c>
      <c r="I6" s="42">
        <f aca="true" t="shared" si="4" ref="I6:I38">G6/B6*100</f>
        <v>36.7774228335402</v>
      </c>
      <c r="J6" s="227">
        <v>44796</v>
      </c>
      <c r="K6" s="39">
        <f>K7+K8</f>
        <v>28323</v>
      </c>
      <c r="L6" s="227">
        <v>16473</v>
      </c>
      <c r="M6" s="225"/>
    </row>
    <row r="7" spans="1:13" s="226" customFormat="1" ht="39.75" customHeight="1">
      <c r="A7" s="38" t="s">
        <v>15</v>
      </c>
      <c r="B7" s="39">
        <f>'市级收'!E5</f>
        <v>37479</v>
      </c>
      <c r="C7" s="193">
        <f t="shared" si="0"/>
        <v>6.2480510276399714</v>
      </c>
      <c r="D7" s="39">
        <f>'市级收'!E6</f>
        <v>19807</v>
      </c>
      <c r="E7" s="193">
        <f t="shared" si="1"/>
        <v>0.7118523414857375</v>
      </c>
      <c r="F7" s="193">
        <f t="shared" si="2"/>
        <v>52.84826169321487</v>
      </c>
      <c r="G7" s="39">
        <f>B7-D7</f>
        <v>17672</v>
      </c>
      <c r="H7" s="42">
        <f t="shared" si="3"/>
        <v>13.223987698616094</v>
      </c>
      <c r="I7" s="42">
        <f t="shared" si="4"/>
        <v>47.151738306785134</v>
      </c>
      <c r="J7" s="227">
        <v>35275</v>
      </c>
      <c r="K7" s="39">
        <f>J7-L7</f>
        <v>19667</v>
      </c>
      <c r="L7" s="39">
        <f>L6-L8</f>
        <v>15608</v>
      </c>
      <c r="M7" s="225"/>
    </row>
    <row r="8" spans="1:13" s="226" customFormat="1" ht="39.75" customHeight="1">
      <c r="A8" s="38" t="s">
        <v>76</v>
      </c>
      <c r="B8" s="39">
        <f>'分级收入'!G7</f>
        <v>11569.583370764087</v>
      </c>
      <c r="C8" s="193">
        <f t="shared" si="0"/>
        <v>21.516472752484894</v>
      </c>
      <c r="D8" s="39">
        <f>'分级收入'!H7</f>
        <v>11166.583370764087</v>
      </c>
      <c r="E8" s="193">
        <f t="shared" si="1"/>
        <v>29.003966852635017</v>
      </c>
      <c r="F8" s="193">
        <f t="shared" si="2"/>
        <v>96.51672850192371</v>
      </c>
      <c r="G8" s="39">
        <f>B8-D8</f>
        <v>403</v>
      </c>
      <c r="H8" s="42">
        <f t="shared" si="3"/>
        <v>-53.410404624277454</v>
      </c>
      <c r="I8" s="42">
        <f t="shared" si="4"/>
        <v>3.4832714980762938</v>
      </c>
      <c r="J8" s="227">
        <v>9521</v>
      </c>
      <c r="K8" s="227">
        <f>SUM(K9:K38)</f>
        <v>8656</v>
      </c>
      <c r="L8" s="227">
        <f>SUM(L11:L38)</f>
        <v>865</v>
      </c>
      <c r="M8" s="225"/>
    </row>
    <row r="9" spans="1:13" s="226" customFormat="1" ht="39.75" customHeight="1">
      <c r="A9" s="38" t="s">
        <v>118</v>
      </c>
      <c r="B9" s="39">
        <f>'分级收入'!G8</f>
        <v>5658</v>
      </c>
      <c r="C9" s="193">
        <f t="shared" si="0"/>
        <v>80.30592734225621</v>
      </c>
      <c r="D9" s="39">
        <f>'分级收入'!H8</f>
        <v>5628</v>
      </c>
      <c r="E9" s="193">
        <f t="shared" si="1"/>
        <v>79.34990439770554</v>
      </c>
      <c r="F9" s="193">
        <f t="shared" si="2"/>
        <v>99.46977730646871</v>
      </c>
      <c r="G9" s="39">
        <f>E9/E6*100</f>
        <v>817.5435948549341</v>
      </c>
      <c r="H9" s="42" t="e">
        <f t="shared" si="3"/>
        <v>#DIV/0!</v>
      </c>
      <c r="I9" s="42">
        <f t="shared" si="4"/>
        <v>14.449338898107708</v>
      </c>
      <c r="J9" s="227">
        <v>3138</v>
      </c>
      <c r="K9" s="227">
        <f aca="true" t="shared" si="5" ref="K9:K38">J9-L9</f>
        <v>3138</v>
      </c>
      <c r="L9" s="227"/>
      <c r="M9" s="225"/>
    </row>
    <row r="10" spans="1:13" s="226" customFormat="1" ht="39.75" customHeight="1">
      <c r="A10" s="38" t="s">
        <v>119</v>
      </c>
      <c r="B10" s="39">
        <f>'分级收入'!G9</f>
        <v>3.5833707640864403</v>
      </c>
      <c r="C10" s="193" t="e">
        <f t="shared" si="0"/>
        <v>#DIV/0!</v>
      </c>
      <c r="D10" s="39">
        <f>'分级收入'!H9</f>
        <v>1.5833707640864403</v>
      </c>
      <c r="E10" s="193" t="e">
        <f t="shared" si="1"/>
        <v>#DIV/0!</v>
      </c>
      <c r="F10" s="193">
        <f t="shared" si="2"/>
        <v>44.186629526462404</v>
      </c>
      <c r="G10" s="39">
        <f aca="true" t="shared" si="6" ref="G10:G38">B10-D10</f>
        <v>2</v>
      </c>
      <c r="H10" s="42" t="e">
        <f t="shared" si="3"/>
        <v>#DIV/0!</v>
      </c>
      <c r="I10" s="42">
        <f t="shared" si="4"/>
        <v>55.8133704735376</v>
      </c>
      <c r="J10" s="227"/>
      <c r="K10" s="227">
        <f t="shared" si="5"/>
        <v>0</v>
      </c>
      <c r="L10" s="227"/>
      <c r="M10" s="225"/>
    </row>
    <row r="11" spans="1:13" s="226" customFormat="1" ht="39.75" customHeight="1">
      <c r="A11" s="38" t="s">
        <v>77</v>
      </c>
      <c r="B11" s="39">
        <f>'分级收入'!G10</f>
        <v>1026</v>
      </c>
      <c r="C11" s="193">
        <f t="shared" si="0"/>
        <v>152.0884520884521</v>
      </c>
      <c r="D11" s="39">
        <f>'分级收入'!H10</f>
        <v>999</v>
      </c>
      <c r="E11" s="193">
        <f t="shared" si="1"/>
        <v>152.27272727272728</v>
      </c>
      <c r="F11" s="193">
        <f t="shared" si="2"/>
        <v>97.36842105263158</v>
      </c>
      <c r="G11" s="39">
        <f t="shared" si="6"/>
        <v>27</v>
      </c>
      <c r="H11" s="42">
        <f t="shared" si="3"/>
        <v>145.45454545454547</v>
      </c>
      <c r="I11" s="42">
        <f t="shared" si="4"/>
        <v>2.631578947368421</v>
      </c>
      <c r="J11" s="227">
        <v>407</v>
      </c>
      <c r="K11" s="227">
        <f t="shared" si="5"/>
        <v>396</v>
      </c>
      <c r="L11" s="227">
        <v>11</v>
      </c>
      <c r="M11" s="225"/>
    </row>
    <row r="12" spans="1:13" s="226" customFormat="1" ht="39.75" customHeight="1">
      <c r="A12" s="38" t="s">
        <v>78</v>
      </c>
      <c r="B12" s="39">
        <f>'分级收入'!G11</f>
        <v>816</v>
      </c>
      <c r="C12" s="193">
        <f t="shared" si="0"/>
        <v>82.5503355704698</v>
      </c>
      <c r="D12" s="39">
        <f>'分级收入'!H11</f>
        <v>808</v>
      </c>
      <c r="E12" s="193">
        <f t="shared" si="1"/>
        <v>84.89702517162472</v>
      </c>
      <c r="F12" s="193">
        <f t="shared" si="2"/>
        <v>99.01960784313727</v>
      </c>
      <c r="G12" s="39">
        <f t="shared" si="6"/>
        <v>8</v>
      </c>
      <c r="H12" s="42">
        <f t="shared" si="3"/>
        <v>-20</v>
      </c>
      <c r="I12" s="42">
        <f t="shared" si="4"/>
        <v>0.9803921568627451</v>
      </c>
      <c r="J12" s="227">
        <v>447</v>
      </c>
      <c r="K12" s="227">
        <f t="shared" si="5"/>
        <v>437</v>
      </c>
      <c r="L12" s="227">
        <v>10</v>
      </c>
      <c r="M12" s="225"/>
    </row>
    <row r="13" spans="1:13" s="226" customFormat="1" ht="39.75" customHeight="1">
      <c r="A13" s="38" t="s">
        <v>79</v>
      </c>
      <c r="B13" s="39">
        <f>'分级收入'!G12</f>
        <v>778</v>
      </c>
      <c r="C13" s="193">
        <f t="shared" si="0"/>
        <v>51.656920077972714</v>
      </c>
      <c r="D13" s="39">
        <f>'分级收入'!H12</f>
        <v>731</v>
      </c>
      <c r="E13" s="193">
        <f t="shared" si="1"/>
        <v>49.48875255623722</v>
      </c>
      <c r="F13" s="193">
        <f t="shared" si="2"/>
        <v>93.95886889460155</v>
      </c>
      <c r="G13" s="39">
        <f t="shared" si="6"/>
        <v>47</v>
      </c>
      <c r="H13" s="42">
        <f t="shared" si="3"/>
        <v>95.83333333333334</v>
      </c>
      <c r="I13" s="42">
        <f t="shared" si="4"/>
        <v>6.041131105398458</v>
      </c>
      <c r="J13" s="227">
        <v>513</v>
      </c>
      <c r="K13" s="227">
        <f t="shared" si="5"/>
        <v>489</v>
      </c>
      <c r="L13" s="227">
        <v>24</v>
      </c>
      <c r="M13" s="225"/>
    </row>
    <row r="14" spans="1:13" s="226" customFormat="1" ht="39.75" customHeight="1">
      <c r="A14" s="38" t="s">
        <v>80</v>
      </c>
      <c r="B14" s="39">
        <f>'分级收入'!G13</f>
        <v>57</v>
      </c>
      <c r="C14" s="193">
        <f t="shared" si="0"/>
        <v>-67.97752808988764</v>
      </c>
      <c r="D14" s="39">
        <f>'分级收入'!H13</f>
        <v>57</v>
      </c>
      <c r="E14" s="193">
        <f t="shared" si="1"/>
        <v>-51.69491525423729</v>
      </c>
      <c r="F14" s="193">
        <f t="shared" si="2"/>
        <v>100</v>
      </c>
      <c r="G14" s="39">
        <f t="shared" si="6"/>
        <v>0</v>
      </c>
      <c r="H14" s="42">
        <f t="shared" si="3"/>
        <v>-100</v>
      </c>
      <c r="I14" s="42">
        <f t="shared" si="4"/>
        <v>0</v>
      </c>
      <c r="J14" s="227">
        <v>178</v>
      </c>
      <c r="K14" s="227">
        <f t="shared" si="5"/>
        <v>118</v>
      </c>
      <c r="L14" s="227">
        <v>60</v>
      </c>
      <c r="M14" s="225"/>
    </row>
    <row r="15" spans="1:13" s="226" customFormat="1" ht="39.75" customHeight="1">
      <c r="A15" s="38" t="s">
        <v>81</v>
      </c>
      <c r="B15" s="39">
        <f>'分级收入'!G14</f>
        <v>192</v>
      </c>
      <c r="C15" s="193">
        <f t="shared" si="0"/>
        <v>-16.157205240174672</v>
      </c>
      <c r="D15" s="39">
        <f>'分级收入'!H14</f>
        <v>189</v>
      </c>
      <c r="E15" s="193">
        <f t="shared" si="1"/>
        <v>56.19834710743802</v>
      </c>
      <c r="F15" s="193">
        <f t="shared" si="2"/>
        <v>98.4375</v>
      </c>
      <c r="G15" s="39">
        <f t="shared" si="6"/>
        <v>3</v>
      </c>
      <c r="H15" s="42">
        <f t="shared" si="3"/>
        <v>-97.22222222222221</v>
      </c>
      <c r="I15" s="42">
        <f t="shared" si="4"/>
        <v>1.5625</v>
      </c>
      <c r="J15" s="227">
        <v>229</v>
      </c>
      <c r="K15" s="227">
        <f t="shared" si="5"/>
        <v>121</v>
      </c>
      <c r="L15" s="227">
        <v>108</v>
      </c>
      <c r="M15" s="225"/>
    </row>
    <row r="16" spans="1:13" s="226" customFormat="1" ht="39.75" customHeight="1">
      <c r="A16" s="38" t="s">
        <v>82</v>
      </c>
      <c r="B16" s="39">
        <f>'分级收入'!G15</f>
        <v>62</v>
      </c>
      <c r="C16" s="193">
        <f t="shared" si="0"/>
        <v>-49.18032786885246</v>
      </c>
      <c r="D16" s="39">
        <f>'分级收入'!H15</f>
        <v>62</v>
      </c>
      <c r="E16" s="193">
        <f t="shared" si="1"/>
        <v>-47.89915966386555</v>
      </c>
      <c r="F16" s="193">
        <f t="shared" si="2"/>
        <v>100</v>
      </c>
      <c r="G16" s="39">
        <f t="shared" si="6"/>
        <v>0</v>
      </c>
      <c r="H16" s="42">
        <f t="shared" si="3"/>
        <v>-100</v>
      </c>
      <c r="I16" s="42">
        <f t="shared" si="4"/>
        <v>0</v>
      </c>
      <c r="J16" s="227">
        <v>122</v>
      </c>
      <c r="K16" s="227">
        <f t="shared" si="5"/>
        <v>119</v>
      </c>
      <c r="L16" s="227">
        <v>3</v>
      </c>
      <c r="M16" s="225"/>
    </row>
    <row r="17" spans="1:13" s="226" customFormat="1" ht="39.75" customHeight="1">
      <c r="A17" s="38" t="s">
        <v>83</v>
      </c>
      <c r="B17" s="39">
        <f>'分级收入'!G16</f>
        <v>79</v>
      </c>
      <c r="C17" s="193">
        <f t="shared" si="0"/>
        <v>-66.52542372881356</v>
      </c>
      <c r="D17" s="39">
        <f>'分级收入'!H16</f>
        <v>75</v>
      </c>
      <c r="E17" s="193">
        <f t="shared" si="1"/>
        <v>-67.10526315789474</v>
      </c>
      <c r="F17" s="193">
        <f t="shared" si="2"/>
        <v>94.9367088607595</v>
      </c>
      <c r="G17" s="39">
        <f t="shared" si="6"/>
        <v>4</v>
      </c>
      <c r="H17" s="42">
        <f t="shared" si="3"/>
        <v>-50</v>
      </c>
      <c r="I17" s="42">
        <f t="shared" si="4"/>
        <v>5.063291139240507</v>
      </c>
      <c r="J17" s="227">
        <v>236</v>
      </c>
      <c r="K17" s="227">
        <f t="shared" si="5"/>
        <v>228</v>
      </c>
      <c r="L17" s="227">
        <v>8</v>
      </c>
      <c r="M17" s="225"/>
    </row>
    <row r="18" spans="1:13" s="226" customFormat="1" ht="39.75" customHeight="1">
      <c r="A18" s="38" t="s">
        <v>84</v>
      </c>
      <c r="B18" s="39">
        <f>'分级收入'!G17</f>
        <v>122</v>
      </c>
      <c r="C18" s="193">
        <f t="shared" si="0"/>
        <v>-46.25550660792951</v>
      </c>
      <c r="D18" s="39">
        <f>'分级收入'!H17</f>
        <v>121</v>
      </c>
      <c r="E18" s="193">
        <f t="shared" si="1"/>
        <v>-44.23963133640553</v>
      </c>
      <c r="F18" s="193">
        <f t="shared" si="2"/>
        <v>99.18032786885246</v>
      </c>
      <c r="G18" s="39">
        <f t="shared" si="6"/>
        <v>1</v>
      </c>
      <c r="H18" s="42">
        <f t="shared" si="3"/>
        <v>-90</v>
      </c>
      <c r="I18" s="42">
        <f t="shared" si="4"/>
        <v>0.819672131147541</v>
      </c>
      <c r="J18" s="227">
        <v>227</v>
      </c>
      <c r="K18" s="227">
        <f t="shared" si="5"/>
        <v>217</v>
      </c>
      <c r="L18" s="227">
        <v>10</v>
      </c>
      <c r="M18" s="225"/>
    </row>
    <row r="19" spans="1:13" s="226" customFormat="1" ht="39.75" customHeight="1">
      <c r="A19" s="38" t="s">
        <v>85</v>
      </c>
      <c r="B19" s="39">
        <f>'分级收入'!G18</f>
        <v>540</v>
      </c>
      <c r="C19" s="193">
        <f t="shared" si="0"/>
        <v>56.06936416184971</v>
      </c>
      <c r="D19" s="39">
        <f>'分级收入'!H18</f>
        <v>481</v>
      </c>
      <c r="E19" s="193">
        <f t="shared" si="1"/>
        <v>93.95161290322581</v>
      </c>
      <c r="F19" s="193">
        <f t="shared" si="2"/>
        <v>89.07407407407408</v>
      </c>
      <c r="G19" s="39">
        <f t="shared" si="6"/>
        <v>59</v>
      </c>
      <c r="H19" s="42">
        <f t="shared" si="3"/>
        <v>-39.795918367346935</v>
      </c>
      <c r="I19" s="42">
        <f t="shared" si="4"/>
        <v>10.925925925925926</v>
      </c>
      <c r="J19" s="227">
        <v>346</v>
      </c>
      <c r="K19" s="227">
        <f t="shared" si="5"/>
        <v>248</v>
      </c>
      <c r="L19" s="227">
        <v>98</v>
      </c>
      <c r="M19" s="225"/>
    </row>
    <row r="20" spans="1:13" s="226" customFormat="1" ht="39.75" customHeight="1">
      <c r="A20" s="38" t="s">
        <v>86</v>
      </c>
      <c r="B20" s="39">
        <f>'分级收入'!G19</f>
        <v>153</v>
      </c>
      <c r="C20" s="193">
        <f t="shared" si="0"/>
        <v>-56.285714285714285</v>
      </c>
      <c r="D20" s="39">
        <f>'分级收入'!H19</f>
        <v>153</v>
      </c>
      <c r="E20" s="193">
        <f t="shared" si="1"/>
        <v>-26.08695652173913</v>
      </c>
      <c r="F20" s="193">
        <f t="shared" si="2"/>
        <v>100</v>
      </c>
      <c r="G20" s="39">
        <f t="shared" si="6"/>
        <v>0</v>
      </c>
      <c r="H20" s="42">
        <f t="shared" si="3"/>
        <v>-100</v>
      </c>
      <c r="I20" s="42">
        <f t="shared" si="4"/>
        <v>0</v>
      </c>
      <c r="J20" s="227">
        <v>350</v>
      </c>
      <c r="K20" s="227">
        <f t="shared" si="5"/>
        <v>207</v>
      </c>
      <c r="L20" s="227">
        <v>143</v>
      </c>
      <c r="M20" s="225"/>
    </row>
    <row r="21" spans="1:13" s="226" customFormat="1" ht="39.75" customHeight="1">
      <c r="A21" s="38" t="s">
        <v>87</v>
      </c>
      <c r="B21" s="39">
        <f>'分级收入'!G20</f>
        <v>122</v>
      </c>
      <c r="C21" s="193">
        <f t="shared" si="0"/>
        <v>-24.22360248447205</v>
      </c>
      <c r="D21" s="39">
        <f>'分级收入'!H20</f>
        <v>120</v>
      </c>
      <c r="E21" s="193">
        <f t="shared" si="1"/>
        <v>-22.07792207792208</v>
      </c>
      <c r="F21" s="193">
        <f t="shared" si="2"/>
        <v>98.36065573770492</v>
      </c>
      <c r="G21" s="39">
        <f t="shared" si="6"/>
        <v>2</v>
      </c>
      <c r="H21" s="42">
        <f t="shared" si="3"/>
        <v>-71.42857142857143</v>
      </c>
      <c r="I21" s="42">
        <f t="shared" si="4"/>
        <v>1.639344262295082</v>
      </c>
      <c r="J21" s="227">
        <v>161</v>
      </c>
      <c r="K21" s="227">
        <f t="shared" si="5"/>
        <v>154</v>
      </c>
      <c r="L21" s="227">
        <v>7</v>
      </c>
      <c r="M21" s="225"/>
    </row>
    <row r="22" spans="1:13" s="226" customFormat="1" ht="37.5" customHeight="1">
      <c r="A22" s="38" t="s">
        <v>88</v>
      </c>
      <c r="B22" s="39">
        <f>'分级收入'!G21</f>
        <v>44</v>
      </c>
      <c r="C22" s="193">
        <f t="shared" si="0"/>
        <v>-74.4186046511628</v>
      </c>
      <c r="D22" s="39">
        <f>'分级收入'!H21</f>
        <v>43</v>
      </c>
      <c r="E22" s="193">
        <f t="shared" si="1"/>
        <v>-72.95597484276729</v>
      </c>
      <c r="F22" s="193">
        <f t="shared" si="2"/>
        <v>97.72727272727273</v>
      </c>
      <c r="G22" s="39">
        <f t="shared" si="6"/>
        <v>1</v>
      </c>
      <c r="H22" s="42">
        <f t="shared" si="3"/>
        <v>-92.3076923076923</v>
      </c>
      <c r="I22" s="42">
        <f t="shared" si="4"/>
        <v>2.272727272727273</v>
      </c>
      <c r="J22" s="227">
        <v>172</v>
      </c>
      <c r="K22" s="227">
        <f t="shared" si="5"/>
        <v>159</v>
      </c>
      <c r="L22" s="227">
        <v>13</v>
      </c>
      <c r="M22" s="225"/>
    </row>
    <row r="23" spans="1:13" s="226" customFormat="1" ht="37.5" customHeight="1">
      <c r="A23" s="38" t="s">
        <v>89</v>
      </c>
      <c r="B23" s="39">
        <f>'分级收入'!G22</f>
        <v>84</v>
      </c>
      <c r="C23" s="193">
        <f t="shared" si="0"/>
        <v>-45.45454545454545</v>
      </c>
      <c r="D23" s="39">
        <f>'分级收入'!H22</f>
        <v>82</v>
      </c>
      <c r="E23" s="193">
        <f t="shared" si="1"/>
        <v>-45.33333333333333</v>
      </c>
      <c r="F23" s="193">
        <f t="shared" si="2"/>
        <v>97.61904761904762</v>
      </c>
      <c r="G23" s="39">
        <f t="shared" si="6"/>
        <v>2</v>
      </c>
      <c r="H23" s="42">
        <f t="shared" si="3"/>
        <v>-50</v>
      </c>
      <c r="I23" s="42">
        <f t="shared" si="4"/>
        <v>2.380952380952381</v>
      </c>
      <c r="J23" s="227">
        <v>154</v>
      </c>
      <c r="K23" s="227">
        <f t="shared" si="5"/>
        <v>150</v>
      </c>
      <c r="L23" s="227">
        <v>4</v>
      </c>
      <c r="M23" s="225"/>
    </row>
    <row r="24" spans="1:13" s="226" customFormat="1" ht="37.5" customHeight="1">
      <c r="A24" s="38" t="s">
        <v>90</v>
      </c>
      <c r="B24" s="39">
        <f>'分级收入'!G23</f>
        <v>82</v>
      </c>
      <c r="C24" s="193">
        <f t="shared" si="0"/>
        <v>-23.364485981308412</v>
      </c>
      <c r="D24" s="39">
        <f>'分级收入'!H23</f>
        <v>80</v>
      </c>
      <c r="E24" s="193">
        <f t="shared" si="1"/>
        <v>-22.330097087378643</v>
      </c>
      <c r="F24" s="193">
        <f t="shared" si="2"/>
        <v>97.5609756097561</v>
      </c>
      <c r="G24" s="39">
        <f t="shared" si="6"/>
        <v>2</v>
      </c>
      <c r="H24" s="42">
        <f t="shared" si="3"/>
        <v>-50</v>
      </c>
      <c r="I24" s="42">
        <f t="shared" si="4"/>
        <v>2.4390243902439024</v>
      </c>
      <c r="J24" s="227">
        <v>107</v>
      </c>
      <c r="K24" s="227">
        <f t="shared" si="5"/>
        <v>103</v>
      </c>
      <c r="L24" s="227">
        <v>4</v>
      </c>
      <c r="M24" s="225"/>
    </row>
    <row r="25" spans="1:13" s="226" customFormat="1" ht="37.5" customHeight="1">
      <c r="A25" s="38" t="s">
        <v>91</v>
      </c>
      <c r="B25" s="39">
        <f>'分级收入'!G24</f>
        <v>212</v>
      </c>
      <c r="C25" s="193">
        <f t="shared" si="0"/>
        <v>17.77777777777778</v>
      </c>
      <c r="D25" s="39">
        <f>'分级收入'!H24</f>
        <v>202</v>
      </c>
      <c r="E25" s="193">
        <f t="shared" si="1"/>
        <v>27.044025157232703</v>
      </c>
      <c r="F25" s="193">
        <f t="shared" si="2"/>
        <v>95.28301886792453</v>
      </c>
      <c r="G25" s="39">
        <f t="shared" si="6"/>
        <v>10</v>
      </c>
      <c r="H25" s="42">
        <f t="shared" si="3"/>
        <v>-52.38095238095239</v>
      </c>
      <c r="I25" s="42">
        <f t="shared" si="4"/>
        <v>4.716981132075472</v>
      </c>
      <c r="J25" s="227">
        <v>180</v>
      </c>
      <c r="K25" s="227">
        <f t="shared" si="5"/>
        <v>159</v>
      </c>
      <c r="L25" s="227">
        <v>21</v>
      </c>
      <c r="M25" s="225"/>
    </row>
    <row r="26" spans="1:13" s="226" customFormat="1" ht="37.5" customHeight="1">
      <c r="A26" s="38" t="s">
        <v>92</v>
      </c>
      <c r="B26" s="39">
        <f>'分级收入'!G25</f>
        <v>58</v>
      </c>
      <c r="C26" s="193">
        <f t="shared" si="0"/>
        <v>-72.11538461538461</v>
      </c>
      <c r="D26" s="39">
        <f>'分级收入'!H25</f>
        <v>29</v>
      </c>
      <c r="E26" s="193">
        <f t="shared" si="1"/>
        <v>-85.64356435643565</v>
      </c>
      <c r="F26" s="193">
        <f t="shared" si="2"/>
        <v>50</v>
      </c>
      <c r="G26" s="39">
        <f t="shared" si="6"/>
        <v>29</v>
      </c>
      <c r="H26" s="42">
        <f t="shared" si="3"/>
        <v>383.33333333333337</v>
      </c>
      <c r="I26" s="42">
        <f t="shared" si="4"/>
        <v>50</v>
      </c>
      <c r="J26" s="227">
        <v>208</v>
      </c>
      <c r="K26" s="227">
        <f t="shared" si="5"/>
        <v>202</v>
      </c>
      <c r="L26" s="227">
        <v>6</v>
      </c>
      <c r="M26" s="225"/>
    </row>
    <row r="27" spans="1:13" s="226" customFormat="1" ht="37.5" customHeight="1">
      <c r="A27" s="38" t="s">
        <v>93</v>
      </c>
      <c r="B27" s="39">
        <f>'分级收入'!G26</f>
        <v>99</v>
      </c>
      <c r="C27" s="193">
        <f t="shared" si="0"/>
        <v>-13.157894736842104</v>
      </c>
      <c r="D27" s="39">
        <f>'分级收入'!H26</f>
        <v>95</v>
      </c>
      <c r="E27" s="193">
        <f t="shared" si="1"/>
        <v>-13.636363636363635</v>
      </c>
      <c r="F27" s="193">
        <f t="shared" si="2"/>
        <v>95.95959595959596</v>
      </c>
      <c r="G27" s="39">
        <f t="shared" si="6"/>
        <v>4</v>
      </c>
      <c r="H27" s="42">
        <f t="shared" si="3"/>
        <v>0</v>
      </c>
      <c r="I27" s="42">
        <f t="shared" si="4"/>
        <v>4.040404040404041</v>
      </c>
      <c r="J27" s="227">
        <v>114</v>
      </c>
      <c r="K27" s="227">
        <f t="shared" si="5"/>
        <v>110</v>
      </c>
      <c r="L27" s="227">
        <v>4</v>
      </c>
      <c r="M27" s="225"/>
    </row>
    <row r="28" spans="1:13" s="226" customFormat="1" ht="37.5" customHeight="1">
      <c r="A28" s="38" t="s">
        <v>94</v>
      </c>
      <c r="B28" s="39">
        <f>'分级收入'!G27</f>
        <v>47</v>
      </c>
      <c r="C28" s="193">
        <f t="shared" si="0"/>
        <v>-60.83333333333333</v>
      </c>
      <c r="D28" s="39">
        <f>'分级收入'!H27</f>
        <v>47</v>
      </c>
      <c r="E28" s="193">
        <f t="shared" si="1"/>
        <v>-59.48275862068966</v>
      </c>
      <c r="F28" s="193">
        <f t="shared" si="2"/>
        <v>100</v>
      </c>
      <c r="G28" s="39">
        <f t="shared" si="6"/>
        <v>0</v>
      </c>
      <c r="H28" s="42">
        <f t="shared" si="3"/>
        <v>-100</v>
      </c>
      <c r="I28" s="42">
        <f t="shared" si="4"/>
        <v>0</v>
      </c>
      <c r="J28" s="227">
        <v>120</v>
      </c>
      <c r="K28" s="227">
        <f t="shared" si="5"/>
        <v>116</v>
      </c>
      <c r="L28" s="227">
        <v>4</v>
      </c>
      <c r="M28" s="225"/>
    </row>
    <row r="29" spans="1:13" s="226" customFormat="1" ht="37.5" customHeight="1">
      <c r="A29" s="38" t="s">
        <v>95</v>
      </c>
      <c r="B29" s="39">
        <f>'分级收入'!G28</f>
        <v>322</v>
      </c>
      <c r="C29" s="193">
        <f t="shared" si="0"/>
        <v>78.88888888888889</v>
      </c>
      <c r="D29" s="39">
        <f>'分级收入'!H28</f>
        <v>319</v>
      </c>
      <c r="E29" s="193">
        <f t="shared" si="1"/>
        <v>85.46511627906976</v>
      </c>
      <c r="F29" s="193">
        <f t="shared" si="2"/>
        <v>99.06832298136646</v>
      </c>
      <c r="G29" s="39">
        <f t="shared" si="6"/>
        <v>3</v>
      </c>
      <c r="H29" s="42">
        <f t="shared" si="3"/>
        <v>-62.5</v>
      </c>
      <c r="I29" s="42">
        <f t="shared" si="4"/>
        <v>0.9316770186335404</v>
      </c>
      <c r="J29" s="227">
        <v>180</v>
      </c>
      <c r="K29" s="227">
        <f t="shared" si="5"/>
        <v>172</v>
      </c>
      <c r="L29" s="227">
        <v>8</v>
      </c>
      <c r="M29" s="225"/>
    </row>
    <row r="30" spans="1:13" s="226" customFormat="1" ht="37.5" customHeight="1">
      <c r="A30" s="38" t="s">
        <v>96</v>
      </c>
      <c r="B30" s="39">
        <f>'分级收入'!G29</f>
        <v>72</v>
      </c>
      <c r="C30" s="193">
        <f t="shared" si="0"/>
        <v>-72.93233082706767</v>
      </c>
      <c r="D30" s="39">
        <f>'分级收入'!H29</f>
        <v>69</v>
      </c>
      <c r="E30" s="193">
        <f t="shared" si="1"/>
        <v>-73.046875</v>
      </c>
      <c r="F30" s="193">
        <f t="shared" si="2"/>
        <v>95.83333333333334</v>
      </c>
      <c r="G30" s="39">
        <f t="shared" si="6"/>
        <v>3</v>
      </c>
      <c r="H30" s="42">
        <f t="shared" si="3"/>
        <v>-70</v>
      </c>
      <c r="I30" s="42">
        <f t="shared" si="4"/>
        <v>4.166666666666666</v>
      </c>
      <c r="J30" s="227">
        <v>266</v>
      </c>
      <c r="K30" s="227">
        <f t="shared" si="5"/>
        <v>256</v>
      </c>
      <c r="L30" s="227">
        <v>10</v>
      </c>
      <c r="M30" s="225"/>
    </row>
    <row r="31" spans="1:13" s="226" customFormat="1" ht="37.5" customHeight="1">
      <c r="A31" s="38" t="s">
        <v>97</v>
      </c>
      <c r="B31" s="39">
        <f>'分级收入'!G30</f>
        <v>42</v>
      </c>
      <c r="C31" s="193">
        <f t="shared" si="0"/>
        <v>-70.83333333333334</v>
      </c>
      <c r="D31" s="39">
        <f>'分级收入'!H30</f>
        <v>42</v>
      </c>
      <c r="E31" s="193">
        <f t="shared" si="1"/>
        <v>-69.11764705882352</v>
      </c>
      <c r="F31" s="193">
        <f t="shared" si="2"/>
        <v>100</v>
      </c>
      <c r="G31" s="39">
        <f t="shared" si="6"/>
        <v>0</v>
      </c>
      <c r="H31" s="42">
        <f t="shared" si="3"/>
        <v>-100</v>
      </c>
      <c r="I31" s="42">
        <f t="shared" si="4"/>
        <v>0</v>
      </c>
      <c r="J31" s="227">
        <v>144</v>
      </c>
      <c r="K31" s="227">
        <f t="shared" si="5"/>
        <v>136</v>
      </c>
      <c r="L31" s="227">
        <v>8</v>
      </c>
      <c r="M31" s="225"/>
    </row>
    <row r="32" spans="1:13" s="226" customFormat="1" ht="36.75" customHeight="1">
      <c r="A32" s="38" t="s">
        <v>98</v>
      </c>
      <c r="B32" s="39">
        <f>'分级收入'!G31</f>
        <v>186</v>
      </c>
      <c r="C32" s="193">
        <f t="shared" si="0"/>
        <v>-34.275618374558306</v>
      </c>
      <c r="D32" s="39">
        <f>'分级收入'!H31</f>
        <v>185</v>
      </c>
      <c r="E32" s="193">
        <f t="shared" si="1"/>
        <v>-19.213973799126638</v>
      </c>
      <c r="F32" s="193">
        <f t="shared" si="2"/>
        <v>99.46236559139786</v>
      </c>
      <c r="G32" s="39">
        <f t="shared" si="6"/>
        <v>1</v>
      </c>
      <c r="H32" s="42">
        <f t="shared" si="3"/>
        <v>-98.14814814814815</v>
      </c>
      <c r="I32" s="42">
        <f t="shared" si="4"/>
        <v>0.5376344086021506</v>
      </c>
      <c r="J32" s="227">
        <v>283</v>
      </c>
      <c r="K32" s="227">
        <f t="shared" si="5"/>
        <v>229</v>
      </c>
      <c r="L32" s="227">
        <v>54</v>
      </c>
      <c r="M32" s="225"/>
    </row>
    <row r="33" spans="1:13" s="226" customFormat="1" ht="36.75" customHeight="1">
      <c r="A33" s="38" t="s">
        <v>99</v>
      </c>
      <c r="B33" s="39">
        <f>'分级收入'!G32</f>
        <v>344</v>
      </c>
      <c r="C33" s="193">
        <f t="shared" si="0"/>
        <v>-21.100917431192663</v>
      </c>
      <c r="D33" s="39">
        <f>'分级收入'!H32</f>
        <v>281</v>
      </c>
      <c r="E33" s="193">
        <f t="shared" si="1"/>
        <v>-19.943019943019944</v>
      </c>
      <c r="F33" s="193">
        <f t="shared" si="2"/>
        <v>81.68604651162791</v>
      </c>
      <c r="G33" s="39">
        <f t="shared" si="6"/>
        <v>63</v>
      </c>
      <c r="H33" s="42">
        <f t="shared" si="3"/>
        <v>-25.882352941176475</v>
      </c>
      <c r="I33" s="42">
        <f t="shared" si="4"/>
        <v>18.313953488372093</v>
      </c>
      <c r="J33" s="227">
        <v>436</v>
      </c>
      <c r="K33" s="227">
        <f t="shared" si="5"/>
        <v>351</v>
      </c>
      <c r="L33" s="227">
        <v>85</v>
      </c>
      <c r="M33" s="225"/>
    </row>
    <row r="34" spans="1:13" s="226" customFormat="1" ht="36.75" customHeight="1">
      <c r="A34" s="38" t="s">
        <v>100</v>
      </c>
      <c r="B34" s="39">
        <f>'分级收入'!G33</f>
        <v>48</v>
      </c>
      <c r="C34" s="193">
        <f t="shared" si="0"/>
        <v>-76.81159420289855</v>
      </c>
      <c r="D34" s="39">
        <f>'分级收入'!H33</f>
        <v>41</v>
      </c>
      <c r="E34" s="193">
        <f t="shared" si="1"/>
        <v>-79.29292929292929</v>
      </c>
      <c r="F34" s="193">
        <f t="shared" si="2"/>
        <v>85.41666666666666</v>
      </c>
      <c r="G34" s="39">
        <f t="shared" si="6"/>
        <v>7</v>
      </c>
      <c r="H34" s="42">
        <f t="shared" si="3"/>
        <v>-22.22222222222222</v>
      </c>
      <c r="I34" s="42">
        <f t="shared" si="4"/>
        <v>14.583333333333334</v>
      </c>
      <c r="J34" s="227">
        <v>207</v>
      </c>
      <c r="K34" s="227">
        <f t="shared" si="5"/>
        <v>198</v>
      </c>
      <c r="L34" s="227">
        <v>9</v>
      </c>
      <c r="M34" s="225"/>
    </row>
    <row r="35" spans="1:13" s="226" customFormat="1" ht="36.75" customHeight="1">
      <c r="A35" s="38" t="s">
        <v>101</v>
      </c>
      <c r="B35" s="39">
        <f>'分级收入'!G34</f>
        <v>66</v>
      </c>
      <c r="C35" s="193">
        <f t="shared" si="0"/>
        <v>-72.15189873417721</v>
      </c>
      <c r="D35" s="39">
        <f>'分级收入'!H34</f>
        <v>65</v>
      </c>
      <c r="E35" s="193">
        <f t="shared" si="1"/>
        <v>-33.6734693877551</v>
      </c>
      <c r="F35" s="193">
        <f t="shared" si="2"/>
        <v>98.48484848484848</v>
      </c>
      <c r="G35" s="39">
        <f t="shared" si="6"/>
        <v>1</v>
      </c>
      <c r="H35" s="42">
        <f t="shared" si="3"/>
        <v>-99.28057553956835</v>
      </c>
      <c r="I35" s="42">
        <f t="shared" si="4"/>
        <v>1.5151515151515151</v>
      </c>
      <c r="J35" s="227">
        <v>237</v>
      </c>
      <c r="K35" s="227">
        <f t="shared" si="5"/>
        <v>98</v>
      </c>
      <c r="L35" s="227">
        <v>139</v>
      </c>
      <c r="M35" s="225"/>
    </row>
    <row r="36" spans="1:13" s="226" customFormat="1" ht="36.75" customHeight="1">
      <c r="A36" s="38" t="s">
        <v>102</v>
      </c>
      <c r="B36" s="39">
        <f>'分级收入'!G35</f>
        <v>140</v>
      </c>
      <c r="C36" s="193">
        <f t="shared" si="0"/>
        <v>-41.66666666666667</v>
      </c>
      <c r="D36" s="39">
        <f>'分级收入'!H35</f>
        <v>48</v>
      </c>
      <c r="E36" s="193">
        <f t="shared" si="1"/>
        <v>-79.13043478260869</v>
      </c>
      <c r="F36" s="193">
        <f t="shared" si="2"/>
        <v>34.285714285714285</v>
      </c>
      <c r="G36" s="39">
        <f t="shared" si="6"/>
        <v>92</v>
      </c>
      <c r="H36" s="42">
        <f t="shared" si="3"/>
        <v>819.9999999999999</v>
      </c>
      <c r="I36" s="42">
        <f t="shared" si="4"/>
        <v>65.71428571428571</v>
      </c>
      <c r="J36" s="227">
        <v>240</v>
      </c>
      <c r="K36" s="227">
        <f t="shared" si="5"/>
        <v>230</v>
      </c>
      <c r="L36" s="227">
        <v>10</v>
      </c>
      <c r="M36" s="225"/>
    </row>
    <row r="37" spans="1:13" s="226" customFormat="1" ht="36.75" customHeight="1">
      <c r="A37" s="38" t="s">
        <v>103</v>
      </c>
      <c r="B37" s="39">
        <f>'分级收入'!G36</f>
        <v>73</v>
      </c>
      <c r="C37" s="193">
        <f t="shared" si="0"/>
        <v>7.352941176470589</v>
      </c>
      <c r="D37" s="39">
        <f>'分级收入'!H36</f>
        <v>72</v>
      </c>
      <c r="E37" s="193">
        <f t="shared" si="1"/>
        <v>10.76923076923077</v>
      </c>
      <c r="F37" s="193">
        <f t="shared" si="2"/>
        <v>98.63013698630137</v>
      </c>
      <c r="G37" s="39">
        <f t="shared" si="6"/>
        <v>1</v>
      </c>
      <c r="H37" s="42">
        <f t="shared" si="3"/>
        <v>-66.66666666666666</v>
      </c>
      <c r="I37" s="42">
        <f t="shared" si="4"/>
        <v>1.36986301369863</v>
      </c>
      <c r="J37" s="227">
        <v>68</v>
      </c>
      <c r="K37" s="227">
        <f t="shared" si="5"/>
        <v>65</v>
      </c>
      <c r="L37" s="227">
        <v>3</v>
      </c>
      <c r="M37" s="225"/>
    </row>
    <row r="38" spans="1:13" s="226" customFormat="1" ht="36.75" customHeight="1">
      <c r="A38" s="38" t="s">
        <v>104</v>
      </c>
      <c r="B38" s="39">
        <f>'分级收入'!G37</f>
        <v>42</v>
      </c>
      <c r="C38" s="193">
        <f t="shared" si="0"/>
        <v>-17.647058823529413</v>
      </c>
      <c r="D38" s="39">
        <f>'分级收入'!H37</f>
        <v>41</v>
      </c>
      <c r="E38" s="193">
        <f t="shared" si="1"/>
        <v>-18</v>
      </c>
      <c r="F38" s="193">
        <f t="shared" si="2"/>
        <v>97.61904761904762</v>
      </c>
      <c r="G38" s="39">
        <f t="shared" si="6"/>
        <v>1</v>
      </c>
      <c r="H38" s="42">
        <f t="shared" si="3"/>
        <v>0</v>
      </c>
      <c r="I38" s="42">
        <f t="shared" si="4"/>
        <v>2.380952380952381</v>
      </c>
      <c r="J38" s="227">
        <v>51</v>
      </c>
      <c r="K38" s="227">
        <f t="shared" si="5"/>
        <v>50</v>
      </c>
      <c r="L38" s="227">
        <v>1</v>
      </c>
      <c r="M38" s="225"/>
    </row>
    <row r="39" spans="1:13" s="226" customFormat="1" ht="15">
      <c r="A39" s="228"/>
      <c r="B39" s="229"/>
      <c r="C39" s="229"/>
      <c r="D39" s="229"/>
      <c r="E39" s="229"/>
      <c r="F39" s="229"/>
      <c r="G39" s="229"/>
      <c r="H39" s="229"/>
      <c r="I39" s="229"/>
      <c r="J39" s="224"/>
      <c r="K39" s="224"/>
      <c r="L39" s="224"/>
      <c r="M39" s="225"/>
    </row>
    <row r="40" spans="1:13" s="226" customFormat="1" ht="14.25">
      <c r="A40" s="230"/>
      <c r="B40" s="231"/>
      <c r="C40" s="231"/>
      <c r="D40" s="231"/>
      <c r="E40" s="231"/>
      <c r="F40" s="231"/>
      <c r="G40" s="231"/>
      <c r="H40" s="231"/>
      <c r="I40" s="231"/>
      <c r="J40" s="224"/>
      <c r="K40" s="224"/>
      <c r="L40" s="224"/>
      <c r="M40" s="225"/>
    </row>
    <row r="41" spans="1:13" s="226" customFormat="1" ht="14.25">
      <c r="A41" s="230"/>
      <c r="B41" s="231"/>
      <c r="C41" s="231"/>
      <c r="D41" s="231"/>
      <c r="E41" s="231"/>
      <c r="F41" s="231"/>
      <c r="G41" s="231"/>
      <c r="H41" s="231"/>
      <c r="I41" s="231"/>
      <c r="J41" s="224"/>
      <c r="K41" s="224"/>
      <c r="L41" s="224"/>
      <c r="M41" s="225"/>
    </row>
  </sheetData>
  <sheetProtection formatCells="0" formatColumns="0" formatRows="0" insertColumns="0" insertRows="0"/>
  <mergeCells count="13">
    <mergeCell ref="F4:F5"/>
    <mergeCell ref="G4:G5"/>
    <mergeCell ref="H4:H5"/>
    <mergeCell ref="I4:I5"/>
    <mergeCell ref="A1:I1"/>
    <mergeCell ref="H2:I2"/>
    <mergeCell ref="A3:A5"/>
    <mergeCell ref="B3:B5"/>
    <mergeCell ref="C3:C5"/>
    <mergeCell ref="D3:F3"/>
    <mergeCell ref="G3:I3"/>
    <mergeCell ref="D4:D5"/>
    <mergeCell ref="E4:E5"/>
  </mergeCells>
  <conditionalFormatting sqref="I6:I38">
    <cfRule type="cellIs" priority="1" dxfId="0" operator="greaterThan" stopIfTrue="1">
      <formula>5000</formula>
    </cfRule>
  </conditionalFormatting>
  <printOptions horizontalCentered="1"/>
  <pageMargins left="0.5511811023622047" right="0.5511811023622047" top="0.79" bottom="0.67" header="0.1968503937007874" footer="0.45"/>
  <pageSetup blackAndWhite="1" errors="blank" horizontalDpi="600" verticalDpi="600" orientation="portrait" paperSize="13" scale="78" r:id="rId1"/>
  <headerFooter alignWithMargins="0">
    <oddFooter xml:space="preserve">&amp;C&amp;11·&amp;12  &amp;P  &amp;11·&amp;12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showZeros="0" view="pageBreakPreview" zoomScaleSheetLayoutView="100" workbookViewId="0" topLeftCell="A1">
      <pane xSplit="1" ySplit="4" topLeftCell="D5" activePane="bottomRight" state="frozen"/>
      <selection pane="topLeft" activeCell="P8" sqref="P8"/>
      <selection pane="topRight" activeCell="P8" sqref="P8"/>
      <selection pane="bottomLeft" activeCell="P8" sqref="P8"/>
      <selection pane="bottomRight" activeCell="D5" sqref="D5"/>
    </sheetView>
  </sheetViews>
  <sheetFormatPr defaultColWidth="9.00390625" defaultRowHeight="23.25" customHeight="1"/>
  <cols>
    <col min="1" max="1" width="24.25390625" style="305" customWidth="1"/>
    <col min="2" max="2" width="9.625" style="306" hidden="1" customWidth="1"/>
    <col min="3" max="3" width="11.00390625" style="306" hidden="1" customWidth="1"/>
    <col min="4" max="4" width="10.625" style="306" customWidth="1"/>
    <col min="5" max="5" width="8.75390625" style="307" customWidth="1"/>
    <col min="6" max="6" width="9.75390625" style="306" customWidth="1"/>
    <col min="7" max="7" width="10.375" style="308" customWidth="1"/>
    <col min="8" max="8" width="8.125" style="309" hidden="1" customWidth="1"/>
    <col min="9" max="9" width="10.00390625" style="310" customWidth="1"/>
    <col min="10" max="10" width="8.375" style="311" customWidth="1"/>
    <col min="11" max="11" width="11.75390625" style="312" hidden="1" customWidth="1"/>
    <col min="12" max="12" width="10.25390625" style="313" hidden="1" customWidth="1"/>
    <col min="13" max="13" width="0" style="314" hidden="1" customWidth="1"/>
    <col min="14" max="14" width="12.375" style="306" hidden="1" customWidth="1"/>
    <col min="15" max="21" width="0" style="306" hidden="1" customWidth="1"/>
    <col min="22" max="16384" width="9.00390625" style="306" customWidth="1"/>
  </cols>
  <sheetData>
    <row r="1" spans="1:13" s="242" customFormat="1" ht="37.5" customHeight="1">
      <c r="A1" s="441" t="str">
        <f>"2017年"&amp;'[1]数据分析表'!J1&amp;"月邓州市政府性基金预算收支完成情况表"</f>
        <v>2017年4月邓州市政府性基金预算收支完成情况表</v>
      </c>
      <c r="B1" s="441"/>
      <c r="C1" s="441"/>
      <c r="D1" s="441"/>
      <c r="E1" s="441"/>
      <c r="F1" s="441"/>
      <c r="G1" s="441"/>
      <c r="H1" s="441"/>
      <c r="I1" s="441"/>
      <c r="J1" s="441"/>
      <c r="K1" s="239"/>
      <c r="L1" s="240"/>
      <c r="M1" s="241"/>
    </row>
    <row r="2" spans="1:13" s="244" customFormat="1" ht="18.75" customHeight="1">
      <c r="A2" s="243" t="s">
        <v>120</v>
      </c>
      <c r="E2" s="245"/>
      <c r="G2" s="246"/>
      <c r="H2" s="247"/>
      <c r="I2" s="442" t="s">
        <v>1</v>
      </c>
      <c r="J2" s="442"/>
      <c r="K2" s="245"/>
      <c r="M2" s="248"/>
    </row>
    <row r="3" spans="1:15" s="251" customFormat="1" ht="18" customHeight="1">
      <c r="A3" s="443" t="s">
        <v>2</v>
      </c>
      <c r="B3" s="444" t="s">
        <v>3</v>
      </c>
      <c r="C3" s="249"/>
      <c r="D3" s="444" t="s">
        <v>3</v>
      </c>
      <c r="E3" s="445" t="s">
        <v>4</v>
      </c>
      <c r="F3" s="444" t="s">
        <v>5</v>
      </c>
      <c r="G3" s="444" t="s">
        <v>6</v>
      </c>
      <c r="H3" s="447" t="s">
        <v>236</v>
      </c>
      <c r="I3" s="448" t="s">
        <v>7</v>
      </c>
      <c r="J3" s="448"/>
      <c r="K3" s="440" t="s">
        <v>8</v>
      </c>
      <c r="L3" s="438" t="s">
        <v>9</v>
      </c>
      <c r="M3" s="436" t="s">
        <v>14</v>
      </c>
      <c r="N3" s="434" t="s">
        <v>15</v>
      </c>
      <c r="O3" s="250"/>
    </row>
    <row r="4" spans="1:16" s="251" customFormat="1" ht="32.25" customHeight="1">
      <c r="A4" s="443"/>
      <c r="B4" s="444"/>
      <c r="C4" s="249" t="s">
        <v>237</v>
      </c>
      <c r="D4" s="444"/>
      <c r="E4" s="445"/>
      <c r="F4" s="446"/>
      <c r="G4" s="443"/>
      <c r="H4" s="447"/>
      <c r="I4" s="252" t="s">
        <v>12</v>
      </c>
      <c r="J4" s="252" t="s">
        <v>13</v>
      </c>
      <c r="K4" s="440"/>
      <c r="L4" s="439"/>
      <c r="M4" s="437"/>
      <c r="N4" s="435"/>
      <c r="O4" s="250"/>
      <c r="P4" s="253" t="e">
        <f>IF(#REF!&gt;0,IF(#REF!&gt;0,"增长"&amp;#REF!&amp;"%，增收"&amp;#REF!,"下降"&amp;-#REF!&amp;"%，减收"&amp;-#REF!)&amp;"万元；","")</f>
        <v>#REF!</v>
      </c>
    </row>
    <row r="5" spans="1:16" s="251" customFormat="1" ht="32.25" customHeight="1">
      <c r="A5" s="254" t="s">
        <v>121</v>
      </c>
      <c r="B5" s="255">
        <f>SUM(B6:B14)</f>
        <v>0</v>
      </c>
      <c r="C5" s="255">
        <f>SUM(C6:C14)</f>
        <v>0</v>
      </c>
      <c r="D5" s="255">
        <v>102008</v>
      </c>
      <c r="E5" s="255">
        <f>SUM(E6:E15)</f>
        <v>2304</v>
      </c>
      <c r="F5" s="255">
        <f>SUM(F6:F15)</f>
        <v>10411</v>
      </c>
      <c r="G5" s="256">
        <f>SUM(G6:G15)</f>
        <v>15686</v>
      </c>
      <c r="H5" s="257">
        <f aca="true" t="shared" si="0" ref="H5:H15">F5/$F$5*100</f>
        <v>100</v>
      </c>
      <c r="I5" s="258">
        <f aca="true" t="shared" si="1" ref="I5:I15">ROUND(F5/D5*100,1)</f>
        <v>10.2</v>
      </c>
      <c r="J5" s="258">
        <f aca="true" t="shared" si="2" ref="J5:J15">ROUND((F5-G5)/G5*100,1)</f>
        <v>-33.6</v>
      </c>
      <c r="K5" s="259">
        <f aca="true" t="shared" si="3" ref="K5:K16">F5-G5</f>
        <v>-5275</v>
      </c>
      <c r="L5" s="260">
        <v>8107</v>
      </c>
      <c r="M5" s="261"/>
      <c r="N5" s="262"/>
      <c r="O5" s="250"/>
      <c r="P5" s="263"/>
    </row>
    <row r="6" spans="1:16" s="251" customFormat="1" ht="24.75" customHeight="1">
      <c r="A6" s="264" t="s">
        <v>122</v>
      </c>
      <c r="B6" s="265"/>
      <c r="C6" s="265"/>
      <c r="D6" s="265">
        <v>42</v>
      </c>
      <c r="E6" s="255">
        <f aca="true" t="shared" si="4" ref="E6:E15">F6-L6</f>
        <v>80</v>
      </c>
      <c r="F6" s="265">
        <v>80</v>
      </c>
      <c r="G6" s="266">
        <v>23</v>
      </c>
      <c r="H6" s="257">
        <f t="shared" si="0"/>
        <v>0.7684180194025549</v>
      </c>
      <c r="I6" s="258">
        <f t="shared" si="1"/>
        <v>190.5</v>
      </c>
      <c r="J6" s="258">
        <f t="shared" si="2"/>
        <v>247.8</v>
      </c>
      <c r="K6" s="259">
        <f t="shared" si="3"/>
        <v>57</v>
      </c>
      <c r="L6" s="265"/>
      <c r="M6" s="261"/>
      <c r="N6" s="262"/>
      <c r="O6" s="250"/>
      <c r="P6" s="263"/>
    </row>
    <row r="7" spans="1:16" s="251" customFormat="1" ht="24.75" customHeight="1">
      <c r="A7" s="267" t="s">
        <v>123</v>
      </c>
      <c r="B7" s="265"/>
      <c r="C7" s="265"/>
      <c r="D7" s="265">
        <v>50</v>
      </c>
      <c r="E7" s="255">
        <f t="shared" si="4"/>
        <v>0</v>
      </c>
      <c r="F7" s="265"/>
      <c r="G7" s="266"/>
      <c r="H7" s="257">
        <f t="shared" si="0"/>
        <v>0</v>
      </c>
      <c r="I7" s="258">
        <f t="shared" si="1"/>
        <v>0</v>
      </c>
      <c r="J7" s="258" t="e">
        <f t="shared" si="2"/>
        <v>#DIV/0!</v>
      </c>
      <c r="K7" s="259">
        <f t="shared" si="3"/>
        <v>0</v>
      </c>
      <c r="L7" s="265"/>
      <c r="M7" s="268"/>
      <c r="N7" s="250"/>
      <c r="O7" s="250"/>
      <c r="P7" s="263"/>
    </row>
    <row r="8" spans="1:17" s="251" customFormat="1" ht="24.75" customHeight="1">
      <c r="A8" s="269" t="s">
        <v>238</v>
      </c>
      <c r="B8" s="265"/>
      <c r="C8" s="265"/>
      <c r="D8" s="265">
        <v>98000</v>
      </c>
      <c r="E8" s="255">
        <f t="shared" si="4"/>
        <v>2199</v>
      </c>
      <c r="F8" s="265">
        <v>9077</v>
      </c>
      <c r="G8" s="266">
        <v>13461</v>
      </c>
      <c r="H8" s="257">
        <f t="shared" si="0"/>
        <v>87.1866295264624</v>
      </c>
      <c r="I8" s="258">
        <f t="shared" si="1"/>
        <v>9.3</v>
      </c>
      <c r="J8" s="258">
        <f t="shared" si="2"/>
        <v>-32.6</v>
      </c>
      <c r="K8" s="259">
        <f t="shared" si="3"/>
        <v>-4384</v>
      </c>
      <c r="L8" s="265">
        <v>6878</v>
      </c>
      <c r="M8" s="268"/>
      <c r="N8" s="250"/>
      <c r="O8" s="250"/>
      <c r="Q8" s="270">
        <f>F8-B8</f>
        <v>9077</v>
      </c>
    </row>
    <row r="9" spans="1:16" s="251" customFormat="1" ht="24.75" customHeight="1">
      <c r="A9" s="264" t="s">
        <v>124</v>
      </c>
      <c r="B9" s="265"/>
      <c r="C9" s="265"/>
      <c r="D9" s="265">
        <v>1420</v>
      </c>
      <c r="E9" s="255">
        <f t="shared" si="4"/>
        <v>0</v>
      </c>
      <c r="F9" s="265">
        <v>156</v>
      </c>
      <c r="G9" s="266">
        <f>E9/E6*100</f>
        <v>0</v>
      </c>
      <c r="H9" s="257">
        <f t="shared" si="0"/>
        <v>1.4984151378349824</v>
      </c>
      <c r="I9" s="258">
        <f t="shared" si="1"/>
        <v>11</v>
      </c>
      <c r="J9" s="258" t="e">
        <f t="shared" si="2"/>
        <v>#DIV/0!</v>
      </c>
      <c r="K9" s="259">
        <f t="shared" si="3"/>
        <v>156</v>
      </c>
      <c r="L9" s="265">
        <v>156</v>
      </c>
      <c r="M9" s="268"/>
      <c r="N9" s="250"/>
      <c r="O9" s="250"/>
      <c r="P9" s="271" t="e">
        <f>IF(#REF!&gt;0,#REF!&amp;"完成"&amp;#REF!&amp;"万元，为预算的"&amp;#REF!&amp;"%","")&amp;IF(#REF!&gt;0,IF(#REF!&gt;0,"，增长"&amp;#REF!&amp;"%，增加支出"&amp;#REF!,"，下降"&amp;-#REF!&amp;"%，减少支出"&amp;-#REF!)&amp;"万元","")&amp;IF(#REF!&gt;0,"。","")</f>
        <v>#REF!</v>
      </c>
    </row>
    <row r="10" spans="1:15" s="251" customFormat="1" ht="24.75" customHeight="1">
      <c r="A10" s="267" t="s">
        <v>125</v>
      </c>
      <c r="B10" s="265"/>
      <c r="C10" s="265"/>
      <c r="D10" s="265">
        <v>800</v>
      </c>
      <c r="E10" s="255">
        <f t="shared" si="4"/>
        <v>0</v>
      </c>
      <c r="F10" s="265">
        <v>37</v>
      </c>
      <c r="G10" s="266">
        <v>29</v>
      </c>
      <c r="H10" s="257">
        <f t="shared" si="0"/>
        <v>0.35539333397368167</v>
      </c>
      <c r="I10" s="258">
        <f t="shared" si="1"/>
        <v>4.6</v>
      </c>
      <c r="J10" s="258">
        <f t="shared" si="2"/>
        <v>27.6</v>
      </c>
      <c r="K10" s="259">
        <f t="shared" si="3"/>
        <v>8</v>
      </c>
      <c r="L10" s="265">
        <v>37</v>
      </c>
      <c r="M10" s="268"/>
      <c r="N10" s="250"/>
      <c r="O10" s="250"/>
    </row>
    <row r="11" spans="1:15" s="251" customFormat="1" ht="24.75" customHeight="1">
      <c r="A11" s="267" t="s">
        <v>126</v>
      </c>
      <c r="B11" s="265"/>
      <c r="C11" s="265"/>
      <c r="D11" s="265">
        <v>1200</v>
      </c>
      <c r="E11" s="255">
        <f t="shared" si="4"/>
        <v>0</v>
      </c>
      <c r="F11" s="272">
        <v>880</v>
      </c>
      <c r="G11" s="273">
        <v>1016</v>
      </c>
      <c r="H11" s="257">
        <f t="shared" si="0"/>
        <v>8.452598213428104</v>
      </c>
      <c r="I11" s="258">
        <f t="shared" si="1"/>
        <v>73.3</v>
      </c>
      <c r="J11" s="258">
        <f t="shared" si="2"/>
        <v>-13.4</v>
      </c>
      <c r="K11" s="259">
        <f t="shared" si="3"/>
        <v>-136</v>
      </c>
      <c r="L11" s="265">
        <v>880</v>
      </c>
      <c r="M11" s="268"/>
      <c r="N11" s="250"/>
      <c r="O11" s="250"/>
    </row>
    <row r="12" spans="1:15" s="251" customFormat="1" ht="24.75" customHeight="1">
      <c r="A12" s="264" t="s">
        <v>127</v>
      </c>
      <c r="B12" s="265"/>
      <c r="C12" s="265"/>
      <c r="D12" s="265">
        <v>451</v>
      </c>
      <c r="E12" s="255">
        <f t="shared" si="4"/>
        <v>25</v>
      </c>
      <c r="F12" s="265">
        <v>181</v>
      </c>
      <c r="G12" s="266">
        <v>156</v>
      </c>
      <c r="H12" s="257">
        <f t="shared" si="0"/>
        <v>1.7385457688982808</v>
      </c>
      <c r="I12" s="258">
        <f t="shared" si="1"/>
        <v>40.1</v>
      </c>
      <c r="J12" s="258">
        <f t="shared" si="2"/>
        <v>16</v>
      </c>
      <c r="K12" s="259">
        <f t="shared" si="3"/>
        <v>25</v>
      </c>
      <c r="L12" s="265">
        <v>156</v>
      </c>
      <c r="M12" s="268"/>
      <c r="N12" s="250"/>
      <c r="O12" s="250"/>
    </row>
    <row r="13" spans="1:15" s="251" customFormat="1" ht="53.25" customHeight="1" hidden="1">
      <c r="A13" s="264" t="s">
        <v>128</v>
      </c>
      <c r="B13" s="265"/>
      <c r="C13" s="265"/>
      <c r="D13" s="265"/>
      <c r="E13" s="255">
        <f t="shared" si="4"/>
        <v>0</v>
      </c>
      <c r="F13" s="265"/>
      <c r="G13" s="266"/>
      <c r="H13" s="257">
        <f t="shared" si="0"/>
        <v>0</v>
      </c>
      <c r="I13" s="258" t="e">
        <f t="shared" si="1"/>
        <v>#DIV/0!</v>
      </c>
      <c r="J13" s="258" t="e">
        <f t="shared" si="2"/>
        <v>#DIV/0!</v>
      </c>
      <c r="K13" s="274">
        <f t="shared" si="3"/>
        <v>0</v>
      </c>
      <c r="L13" s="265"/>
      <c r="M13" s="268"/>
      <c r="N13" s="250"/>
      <c r="O13" s="250"/>
    </row>
    <row r="14" spans="1:15" s="251" customFormat="1" ht="24.75" customHeight="1" thickBot="1">
      <c r="A14" s="267" t="s">
        <v>129</v>
      </c>
      <c r="B14" s="265"/>
      <c r="C14" s="265"/>
      <c r="D14" s="265"/>
      <c r="E14" s="255">
        <f t="shared" si="4"/>
        <v>0</v>
      </c>
      <c r="F14" s="265"/>
      <c r="G14" s="266">
        <v>1</v>
      </c>
      <c r="H14" s="257">
        <f t="shared" si="0"/>
        <v>0</v>
      </c>
      <c r="I14" s="258" t="e">
        <f t="shared" si="1"/>
        <v>#DIV/0!</v>
      </c>
      <c r="J14" s="258">
        <f t="shared" si="2"/>
        <v>-100</v>
      </c>
      <c r="K14" s="274">
        <f t="shared" si="3"/>
        <v>-1</v>
      </c>
      <c r="L14" s="275"/>
      <c r="M14" s="268"/>
      <c r="N14" s="250"/>
      <c r="O14" s="250"/>
    </row>
    <row r="15" spans="1:15" s="251" customFormat="1" ht="24.75" customHeight="1" thickTop="1">
      <c r="A15" s="267" t="s">
        <v>239</v>
      </c>
      <c r="B15" s="265"/>
      <c r="C15" s="265"/>
      <c r="D15" s="265">
        <v>45</v>
      </c>
      <c r="E15" s="255">
        <f t="shared" si="4"/>
        <v>0</v>
      </c>
      <c r="F15" s="265"/>
      <c r="G15" s="266">
        <v>1000</v>
      </c>
      <c r="H15" s="257">
        <f t="shared" si="0"/>
        <v>0</v>
      </c>
      <c r="I15" s="258">
        <f t="shared" si="1"/>
        <v>0</v>
      </c>
      <c r="J15" s="258">
        <f t="shared" si="2"/>
        <v>-100</v>
      </c>
      <c r="K15" s="274">
        <f t="shared" si="3"/>
        <v>-1000</v>
      </c>
      <c r="L15" s="276"/>
      <c r="M15" s="268"/>
      <c r="N15" s="250"/>
      <c r="O15" s="250"/>
    </row>
    <row r="16" spans="1:15" s="251" customFormat="1" ht="11.25" customHeight="1">
      <c r="A16" s="277"/>
      <c r="B16" s="278"/>
      <c r="C16" s="278"/>
      <c r="D16" s="278"/>
      <c r="E16" s="278"/>
      <c r="F16" s="279"/>
      <c r="G16" s="279"/>
      <c r="H16" s="280"/>
      <c r="I16" s="281"/>
      <c r="J16" s="281"/>
      <c r="K16" s="274">
        <f t="shared" si="3"/>
        <v>0</v>
      </c>
      <c r="L16" s="282"/>
      <c r="M16" s="268"/>
      <c r="N16" s="250"/>
      <c r="O16" s="250"/>
    </row>
    <row r="17" spans="1:15" s="251" customFormat="1" ht="31.5" customHeight="1">
      <c r="A17" s="254" t="s">
        <v>130</v>
      </c>
      <c r="B17" s="283">
        <f>SUM(B18:B20,B28,B29,B30,B32:B33)</f>
        <v>0</v>
      </c>
      <c r="C17" s="283">
        <f>SUM(C18:C20,C28,C29,C30,C32:C33)</f>
        <v>58740</v>
      </c>
      <c r="D17" s="283">
        <v>83008</v>
      </c>
      <c r="E17" s="283">
        <f>SUM(E18:E20,E28,E29,E30,E32:E33)</f>
        <v>3184</v>
      </c>
      <c r="F17" s="283">
        <f>SUM(F18:F20,F28,F29,F30,F32:F33)</f>
        <v>21853</v>
      </c>
      <c r="G17" s="283">
        <f>SUM(G18:G20,G28,G29,G30,G32:G33)</f>
        <v>26240</v>
      </c>
      <c r="H17" s="257">
        <f>F17/$F$17*100</f>
        <v>100</v>
      </c>
      <c r="I17" s="284">
        <f aca="true" t="shared" si="5" ref="I17:I33">ROUND(F17/D17*100,1)</f>
        <v>26.3</v>
      </c>
      <c r="J17" s="284">
        <f aca="true" t="shared" si="6" ref="J17:J33">ROUND((F17-G17)/G17*100,1)</f>
        <v>-16.7</v>
      </c>
      <c r="K17" s="285">
        <f>SUM(K18:K20,K28,K30,K32:K33)</f>
        <v>-4387</v>
      </c>
      <c r="L17" s="285">
        <f>SUM(L18:L20,L28,L29,L30,L32:L33)</f>
        <v>18669</v>
      </c>
      <c r="M17" s="268"/>
      <c r="N17" s="250"/>
      <c r="O17" s="250"/>
    </row>
    <row r="18" spans="1:15" s="251" customFormat="1" ht="25.5" customHeight="1">
      <c r="A18" s="286" t="s">
        <v>131</v>
      </c>
      <c r="B18" s="265"/>
      <c r="C18" s="265">
        <f>D18-B18</f>
        <v>0</v>
      </c>
      <c r="D18" s="265"/>
      <c r="E18" s="255">
        <f aca="true" t="shared" si="7" ref="E18:E33">F18-L18</f>
        <v>0</v>
      </c>
      <c r="F18" s="265"/>
      <c r="G18" s="287"/>
      <c r="H18" s="257">
        <f>F18/$F$17*100</f>
        <v>0</v>
      </c>
      <c r="I18" s="284" t="e">
        <f t="shared" si="5"/>
        <v>#DIV/0!</v>
      </c>
      <c r="J18" s="284" t="e">
        <f t="shared" si="6"/>
        <v>#DIV/0!</v>
      </c>
      <c r="K18" s="274">
        <f aca="true" t="shared" si="8" ref="K18:K33">F18-G18</f>
        <v>0</v>
      </c>
      <c r="L18" s="265"/>
      <c r="M18" s="268"/>
      <c r="N18" s="250"/>
      <c r="O18" s="250"/>
    </row>
    <row r="19" spans="1:15" s="251" customFormat="1" ht="25.5" customHeight="1">
      <c r="A19" s="286" t="s">
        <v>132</v>
      </c>
      <c r="B19" s="265"/>
      <c r="C19" s="265">
        <f>D19-B19</f>
        <v>4019</v>
      </c>
      <c r="D19" s="288">
        <v>4019</v>
      </c>
      <c r="E19" s="255">
        <f t="shared" si="7"/>
        <v>0</v>
      </c>
      <c r="F19" s="288"/>
      <c r="G19" s="289"/>
      <c r="H19" s="257">
        <f>F19/$F$17*100</f>
        <v>0</v>
      </c>
      <c r="I19" s="284">
        <f t="shared" si="5"/>
        <v>0</v>
      </c>
      <c r="J19" s="284" t="e">
        <f t="shared" si="6"/>
        <v>#DIV/0!</v>
      </c>
      <c r="K19" s="274">
        <f t="shared" si="8"/>
        <v>0</v>
      </c>
      <c r="L19" s="288"/>
      <c r="M19" s="268"/>
      <c r="N19" s="250"/>
      <c r="O19" s="250"/>
    </row>
    <row r="20" spans="1:17" s="251" customFormat="1" ht="25.5" customHeight="1">
      <c r="A20" s="286" t="s">
        <v>133</v>
      </c>
      <c r="B20" s="265"/>
      <c r="C20" s="265">
        <v>53753</v>
      </c>
      <c r="D20" s="288">
        <v>77989</v>
      </c>
      <c r="E20" s="255">
        <f t="shared" si="7"/>
        <v>3157</v>
      </c>
      <c r="F20" s="290">
        <v>21826</v>
      </c>
      <c r="G20" s="289">
        <v>26220</v>
      </c>
      <c r="H20" s="257">
        <f>F20/$F$17*100</f>
        <v>99.87644716972498</v>
      </c>
      <c r="I20" s="284">
        <f t="shared" si="5"/>
        <v>28</v>
      </c>
      <c r="J20" s="284">
        <f t="shared" si="6"/>
        <v>-16.8</v>
      </c>
      <c r="K20" s="274">
        <f t="shared" si="8"/>
        <v>-4394</v>
      </c>
      <c r="L20" s="288">
        <v>18669</v>
      </c>
      <c r="M20" s="268"/>
      <c r="N20" s="250"/>
      <c r="O20" s="250"/>
      <c r="Q20" s="270">
        <f>D20-F20</f>
        <v>56163</v>
      </c>
    </row>
    <row r="21" spans="1:15" s="251" customFormat="1" ht="23.25" customHeight="1">
      <c r="A21" s="291" t="s">
        <v>240</v>
      </c>
      <c r="B21" s="265"/>
      <c r="C21" s="265"/>
      <c r="D21" s="292">
        <v>74068</v>
      </c>
      <c r="E21" s="255">
        <f t="shared" si="7"/>
        <v>3157</v>
      </c>
      <c r="F21" s="290">
        <v>21826</v>
      </c>
      <c r="G21" s="289">
        <v>26220</v>
      </c>
      <c r="H21" s="257"/>
      <c r="I21" s="284">
        <f t="shared" si="5"/>
        <v>29.5</v>
      </c>
      <c r="J21" s="284">
        <f t="shared" si="6"/>
        <v>-16.8</v>
      </c>
      <c r="K21" s="274">
        <f t="shared" si="8"/>
        <v>-4394</v>
      </c>
      <c r="L21" s="288">
        <v>18669</v>
      </c>
      <c r="M21" s="268"/>
      <c r="N21" s="250"/>
      <c r="O21" s="250"/>
    </row>
    <row r="22" spans="1:15" s="251" customFormat="1" ht="23.25" customHeight="1">
      <c r="A22" s="291" t="s">
        <v>241</v>
      </c>
      <c r="B22" s="265"/>
      <c r="C22" s="265"/>
      <c r="D22" s="288"/>
      <c r="E22" s="255">
        <f t="shared" si="7"/>
        <v>0</v>
      </c>
      <c r="F22" s="288"/>
      <c r="G22" s="289"/>
      <c r="H22" s="257"/>
      <c r="I22" s="284" t="e">
        <f t="shared" si="5"/>
        <v>#DIV/0!</v>
      </c>
      <c r="J22" s="284" t="e">
        <f t="shared" si="6"/>
        <v>#DIV/0!</v>
      </c>
      <c r="K22" s="274">
        <f t="shared" si="8"/>
        <v>0</v>
      </c>
      <c r="L22" s="288"/>
      <c r="M22" s="268"/>
      <c r="N22" s="250"/>
      <c r="O22" s="250"/>
    </row>
    <row r="23" spans="1:15" s="251" customFormat="1" ht="23.25" customHeight="1">
      <c r="A23" s="291" t="s">
        <v>242</v>
      </c>
      <c r="B23" s="265"/>
      <c r="C23" s="265"/>
      <c r="D23" s="288">
        <v>1200</v>
      </c>
      <c r="E23" s="255">
        <f t="shared" si="7"/>
        <v>0</v>
      </c>
      <c r="F23" s="288"/>
      <c r="G23" s="289"/>
      <c r="H23" s="257"/>
      <c r="I23" s="284">
        <f t="shared" si="5"/>
        <v>0</v>
      </c>
      <c r="J23" s="284" t="e">
        <f t="shared" si="6"/>
        <v>#DIV/0!</v>
      </c>
      <c r="K23" s="274">
        <f t="shared" si="8"/>
        <v>0</v>
      </c>
      <c r="L23" s="288"/>
      <c r="M23" s="268"/>
      <c r="N23" s="250"/>
      <c r="O23" s="250"/>
    </row>
    <row r="24" spans="1:15" s="251" customFormat="1" ht="23.25" customHeight="1">
      <c r="A24" s="291" t="s">
        <v>243</v>
      </c>
      <c r="B24" s="265"/>
      <c r="C24" s="265"/>
      <c r="D24" s="288">
        <v>1420</v>
      </c>
      <c r="E24" s="255">
        <f t="shared" si="7"/>
        <v>0</v>
      </c>
      <c r="F24" s="288"/>
      <c r="G24" s="289"/>
      <c r="H24" s="257"/>
      <c r="I24" s="284">
        <f t="shared" si="5"/>
        <v>0</v>
      </c>
      <c r="J24" s="284" t="e">
        <f t="shared" si="6"/>
        <v>#DIV/0!</v>
      </c>
      <c r="K24" s="274">
        <f t="shared" si="8"/>
        <v>0</v>
      </c>
      <c r="L24" s="288"/>
      <c r="M24" s="268"/>
      <c r="N24" s="250"/>
      <c r="O24" s="250"/>
    </row>
    <row r="25" spans="1:15" s="251" customFormat="1" ht="23.25" customHeight="1">
      <c r="A25" s="291" t="s">
        <v>244</v>
      </c>
      <c r="B25" s="265"/>
      <c r="C25" s="265"/>
      <c r="D25" s="288">
        <v>800</v>
      </c>
      <c r="E25" s="255">
        <f t="shared" si="7"/>
        <v>0</v>
      </c>
      <c r="F25" s="288"/>
      <c r="G25" s="289"/>
      <c r="H25" s="257"/>
      <c r="I25" s="284">
        <f t="shared" si="5"/>
        <v>0</v>
      </c>
      <c r="J25" s="284" t="e">
        <f t="shared" si="6"/>
        <v>#DIV/0!</v>
      </c>
      <c r="K25" s="274">
        <f t="shared" si="8"/>
        <v>0</v>
      </c>
      <c r="L25" s="288"/>
      <c r="M25" s="268"/>
      <c r="N25" s="250"/>
      <c r="O25" s="250"/>
    </row>
    <row r="26" spans="1:15" s="251" customFormat="1" ht="23.25" customHeight="1">
      <c r="A26" s="291" t="s">
        <v>245</v>
      </c>
      <c r="B26" s="265"/>
      <c r="C26" s="265"/>
      <c r="D26" s="288"/>
      <c r="E26" s="255">
        <f t="shared" si="7"/>
        <v>0</v>
      </c>
      <c r="F26" s="288"/>
      <c r="G26" s="289"/>
      <c r="H26" s="257"/>
      <c r="I26" s="284" t="e">
        <f t="shared" si="5"/>
        <v>#DIV/0!</v>
      </c>
      <c r="J26" s="284" t="e">
        <f t="shared" si="6"/>
        <v>#DIV/0!</v>
      </c>
      <c r="K26" s="274">
        <f t="shared" si="8"/>
        <v>0</v>
      </c>
      <c r="L26" s="288"/>
      <c r="M26" s="268"/>
      <c r="N26" s="250"/>
      <c r="O26" s="250"/>
    </row>
    <row r="27" spans="1:15" s="251" customFormat="1" ht="23.25" customHeight="1">
      <c r="A27" s="291" t="s">
        <v>246</v>
      </c>
      <c r="B27" s="265"/>
      <c r="C27" s="265"/>
      <c r="D27" s="288">
        <v>50</v>
      </c>
      <c r="E27" s="255">
        <f t="shared" si="7"/>
        <v>0</v>
      </c>
      <c r="F27" s="288"/>
      <c r="G27" s="289"/>
      <c r="H27" s="257"/>
      <c r="I27" s="284">
        <f t="shared" si="5"/>
        <v>0</v>
      </c>
      <c r="J27" s="284" t="e">
        <f t="shared" si="6"/>
        <v>#DIV/0!</v>
      </c>
      <c r="K27" s="274">
        <f t="shared" si="8"/>
        <v>0</v>
      </c>
      <c r="L27" s="288"/>
      <c r="M27" s="268"/>
      <c r="N27" s="250"/>
      <c r="O27" s="250"/>
    </row>
    <row r="28" spans="1:15" s="251" customFormat="1" ht="25.5" customHeight="1">
      <c r="A28" s="286" t="s">
        <v>134</v>
      </c>
      <c r="B28" s="265"/>
      <c r="C28" s="265"/>
      <c r="D28" s="288"/>
      <c r="E28" s="255">
        <f t="shared" si="7"/>
        <v>0</v>
      </c>
      <c r="F28" s="288"/>
      <c r="G28" s="289"/>
      <c r="H28" s="257">
        <f>F28/$F$17*100</f>
        <v>0</v>
      </c>
      <c r="I28" s="284" t="e">
        <f t="shared" si="5"/>
        <v>#DIV/0!</v>
      </c>
      <c r="J28" s="284" t="e">
        <f t="shared" si="6"/>
        <v>#DIV/0!</v>
      </c>
      <c r="K28" s="274">
        <f t="shared" si="8"/>
        <v>0</v>
      </c>
      <c r="L28" s="288"/>
      <c r="M28" s="293"/>
      <c r="N28" s="250"/>
      <c r="O28" s="250"/>
    </row>
    <row r="29" spans="1:15" s="251" customFormat="1" ht="25.5" customHeight="1">
      <c r="A29" s="286" t="s">
        <v>247</v>
      </c>
      <c r="B29" s="265"/>
      <c r="C29" s="265"/>
      <c r="D29" s="288"/>
      <c r="E29" s="255">
        <f t="shared" si="7"/>
        <v>0</v>
      </c>
      <c r="F29" s="288"/>
      <c r="G29" s="289"/>
      <c r="H29" s="257"/>
      <c r="I29" s="284" t="e">
        <f t="shared" si="5"/>
        <v>#DIV/0!</v>
      </c>
      <c r="J29" s="284" t="e">
        <f t="shared" si="6"/>
        <v>#DIV/0!</v>
      </c>
      <c r="K29" s="274">
        <f t="shared" si="8"/>
        <v>0</v>
      </c>
      <c r="L29" s="288"/>
      <c r="M29" s="293"/>
      <c r="N29" s="250"/>
      <c r="O29" s="250"/>
    </row>
    <row r="30" spans="1:15" s="251" customFormat="1" ht="25.5" customHeight="1">
      <c r="A30" s="294" t="s">
        <v>135</v>
      </c>
      <c r="B30" s="265"/>
      <c r="C30" s="265">
        <v>55</v>
      </c>
      <c r="D30" s="265">
        <v>87</v>
      </c>
      <c r="E30" s="255">
        <f t="shared" si="7"/>
        <v>0</v>
      </c>
      <c r="F30" s="265"/>
      <c r="G30" s="287"/>
      <c r="H30" s="257">
        <f>F30/$F$17*100</f>
        <v>0</v>
      </c>
      <c r="I30" s="284">
        <f t="shared" si="5"/>
        <v>0</v>
      </c>
      <c r="J30" s="284" t="e">
        <f t="shared" si="6"/>
        <v>#DIV/0!</v>
      </c>
      <c r="K30" s="274">
        <f t="shared" si="8"/>
        <v>0</v>
      </c>
      <c r="L30" s="265"/>
      <c r="M30" s="293"/>
      <c r="N30" s="250"/>
      <c r="O30" s="250"/>
    </row>
    <row r="31" spans="1:15" s="251" customFormat="1" ht="19.5" customHeight="1">
      <c r="A31" s="295" t="s">
        <v>248</v>
      </c>
      <c r="B31" s="265"/>
      <c r="C31" s="265"/>
      <c r="D31" s="265">
        <v>42</v>
      </c>
      <c r="E31" s="255">
        <f t="shared" si="7"/>
        <v>0</v>
      </c>
      <c r="F31" s="265"/>
      <c r="G31" s="287"/>
      <c r="H31" s="257"/>
      <c r="I31" s="284">
        <f t="shared" si="5"/>
        <v>0</v>
      </c>
      <c r="J31" s="284" t="e">
        <f t="shared" si="6"/>
        <v>#DIV/0!</v>
      </c>
      <c r="K31" s="274">
        <f t="shared" si="8"/>
        <v>0</v>
      </c>
      <c r="L31" s="265"/>
      <c r="M31" s="293"/>
      <c r="N31" s="250"/>
      <c r="O31" s="250"/>
    </row>
    <row r="32" spans="1:15" s="251" customFormat="1" ht="25.5" customHeight="1">
      <c r="A32" s="295" t="s">
        <v>249</v>
      </c>
      <c r="B32" s="265"/>
      <c r="C32" s="265"/>
      <c r="D32" s="265"/>
      <c r="E32" s="255">
        <f t="shared" si="7"/>
        <v>0</v>
      </c>
      <c r="F32" s="265"/>
      <c r="G32" s="287"/>
      <c r="H32" s="257"/>
      <c r="I32" s="284" t="e">
        <f t="shared" si="5"/>
        <v>#DIV/0!</v>
      </c>
      <c r="J32" s="284" t="e">
        <f t="shared" si="6"/>
        <v>#DIV/0!</v>
      </c>
      <c r="K32" s="274">
        <f t="shared" si="8"/>
        <v>0</v>
      </c>
      <c r="L32" s="265"/>
      <c r="M32" s="293"/>
      <c r="N32" s="250"/>
      <c r="O32" s="250"/>
    </row>
    <row r="33" spans="1:15" s="251" customFormat="1" ht="25.5" customHeight="1">
      <c r="A33" s="286" t="s">
        <v>136</v>
      </c>
      <c r="B33" s="265"/>
      <c r="C33" s="265">
        <f>D33-B33</f>
        <v>913</v>
      </c>
      <c r="D33" s="296">
        <v>913</v>
      </c>
      <c r="E33" s="255">
        <f t="shared" si="7"/>
        <v>27</v>
      </c>
      <c r="F33" s="296">
        <v>27</v>
      </c>
      <c r="G33" s="287">
        <v>20</v>
      </c>
      <c r="H33" s="257">
        <f>F33/$F$17*100</f>
        <v>0.12355283027501945</v>
      </c>
      <c r="I33" s="284">
        <f t="shared" si="5"/>
        <v>3</v>
      </c>
      <c r="J33" s="284">
        <f t="shared" si="6"/>
        <v>35</v>
      </c>
      <c r="K33" s="274">
        <f t="shared" si="8"/>
        <v>7</v>
      </c>
      <c r="L33" s="265"/>
      <c r="M33" s="293"/>
      <c r="N33" s="250"/>
      <c r="O33" s="250"/>
    </row>
    <row r="34" spans="1:15" s="251" customFormat="1" ht="23.25" customHeight="1">
      <c r="A34" s="297"/>
      <c r="B34" s="298"/>
      <c r="C34" s="299"/>
      <c r="D34" s="299"/>
      <c r="E34" s="298"/>
      <c r="F34" s="246"/>
      <c r="G34" s="300"/>
      <c r="H34" s="300"/>
      <c r="I34" s="301"/>
      <c r="J34" s="302"/>
      <c r="K34" s="298"/>
      <c r="L34" s="303"/>
      <c r="M34" s="304"/>
      <c r="N34" s="250"/>
      <c r="O34" s="250"/>
    </row>
  </sheetData>
  <sheetProtection formatCells="0" formatColumns="0" formatRows="0" insertColumns="0" insertRows="0"/>
  <mergeCells count="14">
    <mergeCell ref="A1:J1"/>
    <mergeCell ref="I2:J2"/>
    <mergeCell ref="A3:A4"/>
    <mergeCell ref="B3:B4"/>
    <mergeCell ref="E3:E4"/>
    <mergeCell ref="F3:F4"/>
    <mergeCell ref="D3:D4"/>
    <mergeCell ref="G3:G4"/>
    <mergeCell ref="H3:H4"/>
    <mergeCell ref="I3:J3"/>
    <mergeCell ref="N3:N4"/>
    <mergeCell ref="M3:M4"/>
    <mergeCell ref="L3:L4"/>
    <mergeCell ref="K3:K4"/>
  </mergeCells>
  <printOptions horizontalCentered="1"/>
  <pageMargins left="0.5511811023622047" right="0.5511811023622047" top="0.73" bottom="0.67" header="0.1968503937007874" footer="0.48"/>
  <pageSetup blackAndWhite="1" errors="blank" fitToHeight="2" horizontalDpi="600" verticalDpi="600" orientation="portrait" paperSize="13" scale="76" r:id="rId2"/>
  <headerFooter alignWithMargins="0">
    <oddFooter xml:space="preserve">&amp;C&amp;11·&amp;12  &amp;P  &amp;11·&amp;12  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view="pageBreakPreview" zoomScaleSheetLayoutView="100" workbookViewId="0" topLeftCell="A1">
      <pane xSplit="1" ySplit="4" topLeftCell="B5" activePane="bottomRight" state="frozen"/>
      <selection pane="topLeft" activeCell="P8" sqref="P8"/>
      <selection pane="topRight" activeCell="P8" sqref="P8"/>
      <selection pane="bottomLeft" activeCell="P8" sqref="P8"/>
      <selection pane="bottomRight" activeCell="P8" sqref="P8"/>
    </sheetView>
  </sheetViews>
  <sheetFormatPr defaultColWidth="9.00390625" defaultRowHeight="14.25"/>
  <cols>
    <col min="1" max="1" width="27.25390625" style="0" bestFit="1" customWidth="1"/>
    <col min="2" max="2" width="8.75390625" style="0" customWidth="1"/>
    <col min="3" max="3" width="8.75390625" style="315" hidden="1" customWidth="1"/>
    <col min="4" max="4" width="8.75390625" style="316" hidden="1" customWidth="1"/>
    <col min="5" max="7" width="9.375" style="0" customWidth="1"/>
    <col min="8" max="9" width="8.75390625" style="0" customWidth="1"/>
  </cols>
  <sheetData>
    <row r="1" spans="1:9" ht="45" customHeight="1">
      <c r="A1" s="388" t="str">
        <f>"2017年"&amp;'[1]数据分析表'!J1&amp;"月邓州市国有资本经营预算收支完成情况表"</f>
        <v>2017年4月邓州市国有资本经营预算收支完成情况表</v>
      </c>
      <c r="B1" s="388"/>
      <c r="C1" s="388"/>
      <c r="D1" s="388"/>
      <c r="E1" s="388"/>
      <c r="F1" s="388"/>
      <c r="G1" s="388"/>
      <c r="H1" s="388"/>
      <c r="I1" s="388"/>
    </row>
    <row r="2" spans="1:9" ht="22.5" customHeight="1">
      <c r="A2" s="9" t="s">
        <v>137</v>
      </c>
      <c r="H2" s="389" t="s">
        <v>1</v>
      </c>
      <c r="I2" s="389"/>
    </row>
    <row r="3" spans="1:9" ht="22.5" customHeight="1">
      <c r="A3" s="390" t="s">
        <v>2</v>
      </c>
      <c r="B3" s="383" t="s">
        <v>3</v>
      </c>
      <c r="C3" s="317"/>
      <c r="D3" s="444" t="s">
        <v>250</v>
      </c>
      <c r="E3" s="449" t="s">
        <v>4</v>
      </c>
      <c r="F3" s="383" t="s">
        <v>5</v>
      </c>
      <c r="G3" s="383" t="s">
        <v>6</v>
      </c>
      <c r="H3" s="380" t="s">
        <v>7</v>
      </c>
      <c r="I3" s="380"/>
    </row>
    <row r="4" spans="1:9" ht="34.5" customHeight="1">
      <c r="A4" s="390"/>
      <c r="B4" s="383"/>
      <c r="C4" s="317" t="s">
        <v>237</v>
      </c>
      <c r="D4" s="444"/>
      <c r="E4" s="449"/>
      <c r="F4" s="205"/>
      <c r="G4" s="390"/>
      <c r="H4" s="15" t="s">
        <v>12</v>
      </c>
      <c r="I4" s="19" t="s">
        <v>13</v>
      </c>
    </row>
    <row r="5" spans="1:9" ht="45" customHeight="1">
      <c r="A5" s="318" t="s">
        <v>251</v>
      </c>
      <c r="B5" s="45">
        <v>1350</v>
      </c>
      <c r="C5" s="45">
        <f>SUM(C6:C10)</f>
        <v>0</v>
      </c>
      <c r="D5" s="45">
        <f>SUM(D6:D10)</f>
        <v>0</v>
      </c>
      <c r="E5" s="45">
        <f>SUM(E6:E10)</f>
        <v>0</v>
      </c>
      <c r="F5" s="45">
        <f>SUM(F6:F10)</f>
        <v>0</v>
      </c>
      <c r="G5" s="45" t="e">
        <f>SUM(G6:G10)</f>
        <v>#DIV/0!</v>
      </c>
      <c r="H5" s="319" t="e">
        <f aca="true" t="shared" si="0" ref="H5:H10">F5/D5*100</f>
        <v>#DIV/0!</v>
      </c>
      <c r="I5" s="319" t="e">
        <f aca="true" t="shared" si="1" ref="I5:I10">(F5-G5)/G5*100</f>
        <v>#DIV/0!</v>
      </c>
    </row>
    <row r="6" spans="1:9" ht="45" customHeight="1">
      <c r="A6" s="320" t="s">
        <v>252</v>
      </c>
      <c r="B6" s="45">
        <v>1350</v>
      </c>
      <c r="C6" s="321"/>
      <c r="D6" s="265"/>
      <c r="E6" s="45"/>
      <c r="F6" s="45"/>
      <c r="G6" s="45"/>
      <c r="H6" s="319" t="e">
        <f t="shared" si="0"/>
        <v>#DIV/0!</v>
      </c>
      <c r="I6" s="319" t="e">
        <f t="shared" si="1"/>
        <v>#DIV/0!</v>
      </c>
    </row>
    <row r="7" spans="1:9" ht="45" customHeight="1">
      <c r="A7" s="320" t="s">
        <v>253</v>
      </c>
      <c r="B7" s="45"/>
      <c r="C7" s="321"/>
      <c r="D7" s="265"/>
      <c r="E7" s="45"/>
      <c r="F7" s="45"/>
      <c r="G7" s="45"/>
      <c r="H7" s="45" t="e">
        <f t="shared" si="0"/>
        <v>#DIV/0!</v>
      </c>
      <c r="I7" s="45" t="e">
        <f t="shared" si="1"/>
        <v>#DIV/0!</v>
      </c>
    </row>
    <row r="8" spans="1:9" ht="45" customHeight="1">
      <c r="A8" s="320" t="s">
        <v>254</v>
      </c>
      <c r="B8" s="45"/>
      <c r="C8" s="321"/>
      <c r="D8" s="265"/>
      <c r="E8" s="45"/>
      <c r="F8" s="45"/>
      <c r="G8" s="45"/>
      <c r="H8" s="45" t="e">
        <f t="shared" si="0"/>
        <v>#DIV/0!</v>
      </c>
      <c r="I8" s="45" t="e">
        <f t="shared" si="1"/>
        <v>#DIV/0!</v>
      </c>
    </row>
    <row r="9" spans="1:9" ht="45" customHeight="1">
      <c r="A9" s="320" t="s">
        <v>255</v>
      </c>
      <c r="B9" s="45"/>
      <c r="C9" s="321"/>
      <c r="D9" s="265"/>
      <c r="E9" s="45"/>
      <c r="F9" s="45"/>
      <c r="G9" s="45" t="e">
        <f>E9/E6*100</f>
        <v>#DIV/0!</v>
      </c>
      <c r="H9" s="45" t="e">
        <f t="shared" si="0"/>
        <v>#DIV/0!</v>
      </c>
      <c r="I9" s="45" t="e">
        <f t="shared" si="1"/>
        <v>#DIV/0!</v>
      </c>
    </row>
    <row r="10" spans="1:9" ht="45" customHeight="1">
      <c r="A10" s="320" t="s">
        <v>256</v>
      </c>
      <c r="B10" s="45"/>
      <c r="C10" s="321"/>
      <c r="D10" s="265"/>
      <c r="E10" s="45"/>
      <c r="F10" s="45"/>
      <c r="G10" s="45"/>
      <c r="H10" s="45" t="e">
        <f t="shared" si="0"/>
        <v>#DIV/0!</v>
      </c>
      <c r="I10" s="45" t="e">
        <f t="shared" si="1"/>
        <v>#DIV/0!</v>
      </c>
    </row>
    <row r="11" spans="1:9" ht="19.5" customHeight="1">
      <c r="A11" s="322"/>
      <c r="B11" s="323"/>
      <c r="C11" s="323"/>
      <c r="D11" s="323"/>
      <c r="E11" s="323"/>
      <c r="F11" s="323"/>
      <c r="G11" s="323"/>
      <c r="H11" s="323"/>
      <c r="I11" s="323"/>
    </row>
    <row r="12" spans="1:9" ht="45" customHeight="1">
      <c r="A12" s="318" t="s">
        <v>257</v>
      </c>
      <c r="B12" s="45">
        <v>938</v>
      </c>
      <c r="C12" s="45">
        <f>SUM(C13:C17)</f>
        <v>0</v>
      </c>
      <c r="D12" s="45">
        <f>SUM(D13:D17)</f>
        <v>0</v>
      </c>
      <c r="E12" s="45">
        <f>SUM(E13:E17)</f>
        <v>0</v>
      </c>
      <c r="F12" s="45">
        <f>SUM(F13:F17)</f>
        <v>0</v>
      </c>
      <c r="G12" s="45">
        <v>0</v>
      </c>
      <c r="H12" s="319" t="e">
        <f aca="true" t="shared" si="2" ref="H12:H17">F12/D12*100</f>
        <v>#DIV/0!</v>
      </c>
      <c r="I12" s="319" t="e">
        <f aca="true" t="shared" si="3" ref="I12:I17">(F12-G12)/G12*100</f>
        <v>#DIV/0!</v>
      </c>
    </row>
    <row r="13" spans="1:9" ht="45" customHeight="1">
      <c r="A13" s="324" t="s">
        <v>258</v>
      </c>
      <c r="B13" s="45">
        <v>938</v>
      </c>
      <c r="C13" s="321"/>
      <c r="D13" s="265"/>
      <c r="E13" s="45"/>
      <c r="F13" s="45"/>
      <c r="G13" s="45"/>
      <c r="H13" s="319" t="e">
        <f t="shared" si="2"/>
        <v>#DIV/0!</v>
      </c>
      <c r="I13" s="45" t="e">
        <f t="shared" si="3"/>
        <v>#DIV/0!</v>
      </c>
    </row>
    <row r="14" spans="1:9" ht="45" customHeight="1">
      <c r="A14" s="320" t="s">
        <v>138</v>
      </c>
      <c r="B14" s="45"/>
      <c r="C14" s="321"/>
      <c r="D14" s="265"/>
      <c r="E14" s="45"/>
      <c r="F14" s="45"/>
      <c r="G14" s="45"/>
      <c r="H14" s="45" t="e">
        <f t="shared" si="2"/>
        <v>#DIV/0!</v>
      </c>
      <c r="I14" s="45" t="e">
        <f t="shared" si="3"/>
        <v>#DIV/0!</v>
      </c>
    </row>
    <row r="15" spans="1:9" ht="45" customHeight="1">
      <c r="A15" s="320" t="s">
        <v>139</v>
      </c>
      <c r="B15" s="45"/>
      <c r="C15" s="321"/>
      <c r="D15" s="265"/>
      <c r="E15" s="45"/>
      <c r="F15" s="45"/>
      <c r="G15" s="45"/>
      <c r="H15" s="45" t="e">
        <f t="shared" si="2"/>
        <v>#DIV/0!</v>
      </c>
      <c r="I15" s="45" t="e">
        <f t="shared" si="3"/>
        <v>#DIV/0!</v>
      </c>
    </row>
    <row r="16" spans="1:9" ht="45" customHeight="1">
      <c r="A16" s="324" t="s">
        <v>259</v>
      </c>
      <c r="B16" s="45"/>
      <c r="C16" s="321"/>
      <c r="D16" s="265"/>
      <c r="E16" s="45"/>
      <c r="F16" s="45"/>
      <c r="G16" s="45"/>
      <c r="H16" s="45" t="e">
        <f t="shared" si="2"/>
        <v>#DIV/0!</v>
      </c>
      <c r="I16" s="45" t="e">
        <f t="shared" si="3"/>
        <v>#DIV/0!</v>
      </c>
    </row>
    <row r="17" spans="1:9" ht="45" customHeight="1">
      <c r="A17" s="324" t="s">
        <v>260</v>
      </c>
      <c r="B17" s="45"/>
      <c r="C17" s="321"/>
      <c r="D17" s="265"/>
      <c r="E17" s="45"/>
      <c r="F17" s="45"/>
      <c r="G17" s="45"/>
      <c r="H17" s="45" t="e">
        <f t="shared" si="2"/>
        <v>#DIV/0!</v>
      </c>
      <c r="I17" s="45" t="e">
        <f t="shared" si="3"/>
        <v>#DIV/0!</v>
      </c>
    </row>
  </sheetData>
  <sheetProtection/>
  <mergeCells count="9">
    <mergeCell ref="A1:I1"/>
    <mergeCell ref="A3:A4"/>
    <mergeCell ref="B3:B4"/>
    <mergeCell ref="D3:D4"/>
    <mergeCell ref="E3:E4"/>
    <mergeCell ref="F3:F4"/>
    <mergeCell ref="G3:G4"/>
    <mergeCell ref="H3:I3"/>
    <mergeCell ref="H2:I2"/>
  </mergeCells>
  <printOptions/>
  <pageMargins left="0.7086614173228347" right="0.51" top="0.73" bottom="0.67" header="0.31496062992125984" footer="0.51"/>
  <pageSetup errors="blank" firstPageNumber="31" useFirstPageNumber="1" fitToHeight="0" fitToWidth="1" horizontalDpi="600" verticalDpi="600" orientation="portrait" paperSize="13" scale="87" r:id="rId1"/>
  <headerFooter alignWithMargins="0">
    <oddFooter xml:space="preserve">&amp;C&amp;10·&amp;12  &amp;P &amp;10 ·&amp;12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微软用户</cp:lastModifiedBy>
  <cp:lastPrinted>2008-01-25T06:19:56Z</cp:lastPrinted>
  <dcterms:created xsi:type="dcterms:W3CDTF">2005-03-23T02:38:52Z</dcterms:created>
  <dcterms:modified xsi:type="dcterms:W3CDTF">2017-05-17T03:25:49Z</dcterms:modified>
  <cp:category/>
  <cp:version/>
  <cp:contentType/>
  <cp:contentStatus/>
</cp:coreProperties>
</file>